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Licitações\LICITAÇÕES 2023\TOMADA DE PREÇOS\TOMADA DE PREÇOS 02-2023 - REFORMA ESCOLA MÁRIO COVAS\"/>
    </mc:Choice>
  </mc:AlternateContent>
  <xr:revisionPtr revIDLastSave="0" documentId="8_{8E7A6E18-67A1-4CB4-BED4-EB2171C1D97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rçamento" sheetId="1" r:id="rId1"/>
    <sheet name="Cronograma" sheetId="2" r:id="rId2"/>
  </sheets>
  <definedNames>
    <definedName name="_xlnm._FilterDatabase" localSheetId="0" hidden="1">Orçamento!$B$7:$H$162</definedName>
  </definedNames>
  <calcPr calcId="191029"/>
</workbook>
</file>

<file path=xl/calcChain.xml><?xml version="1.0" encoding="utf-8"?>
<calcChain xmlns="http://schemas.openxmlformats.org/spreadsheetml/2006/main">
  <c r="F72" i="1" l="1"/>
  <c r="F154" i="1"/>
  <c r="H154" i="1" s="1"/>
  <c r="F63" i="1"/>
  <c r="H63" i="1" s="1"/>
  <c r="F62" i="1"/>
  <c r="F61" i="1"/>
  <c r="F58" i="1"/>
  <c r="H58" i="1" s="1"/>
  <c r="H60" i="1"/>
  <c r="H59" i="1"/>
  <c r="O10" i="2"/>
  <c r="O11" i="2"/>
  <c r="O12" i="2"/>
  <c r="O13" i="2"/>
  <c r="O14" i="2"/>
  <c r="O15" i="2"/>
  <c r="O16" i="2"/>
  <c r="O17" i="2"/>
  <c r="O18" i="2"/>
  <c r="O19" i="2"/>
  <c r="O20" i="2"/>
  <c r="O21" i="2"/>
  <c r="O9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F73" i="1"/>
  <c r="H73" i="1" s="1"/>
  <c r="H72" i="1"/>
  <c r="H74" i="1" l="1"/>
  <c r="F34" i="1" l="1"/>
  <c r="H34" i="1" s="1"/>
  <c r="F153" i="1"/>
  <c r="H153" i="1" s="1"/>
  <c r="F152" i="1"/>
  <c r="H152" i="1" s="1"/>
  <c r="F151" i="1"/>
  <c r="H151" i="1" s="1"/>
  <c r="F155" i="1"/>
  <c r="H155" i="1" s="1"/>
  <c r="F85" i="1"/>
  <c r="F78" i="1"/>
  <c r="F55" i="1"/>
  <c r="F54" i="1"/>
  <c r="F145" i="1"/>
  <c r="H145" i="1" s="1"/>
  <c r="F57" i="1"/>
  <c r="H57" i="1" s="1"/>
  <c r="F141" i="1"/>
  <c r="H129" i="1"/>
  <c r="F124" i="1"/>
  <c r="F110" i="1"/>
  <c r="F70" i="1"/>
  <c r="F69" i="1"/>
  <c r="F45" i="1"/>
  <c r="H45" i="1" s="1"/>
  <c r="F44" i="1"/>
  <c r="H44" i="1" s="1"/>
  <c r="F48" i="1"/>
  <c r="F49" i="1"/>
  <c r="H62" i="1"/>
  <c r="H61" i="1"/>
  <c r="H121" i="1" l="1"/>
  <c r="H107" i="1"/>
  <c r="H114" i="1"/>
  <c r="F19" i="1"/>
  <c r="F120" i="1"/>
  <c r="F116" i="1"/>
  <c r="F99" i="1" l="1"/>
  <c r="H99" i="1" s="1"/>
  <c r="F98" i="1"/>
  <c r="F97" i="1"/>
  <c r="F53" i="1"/>
  <c r="F56" i="1"/>
  <c r="H56" i="1" s="1"/>
  <c r="F81" i="1"/>
  <c r="H81" i="1" s="1"/>
  <c r="H78" i="1"/>
  <c r="H80" i="1"/>
  <c r="H79" i="1"/>
  <c r="H77" i="1"/>
  <c r="H70" i="1" l="1"/>
  <c r="H69" i="1"/>
  <c r="H71" i="1"/>
  <c r="F68" i="1"/>
  <c r="H68" i="1" s="1"/>
  <c r="F67" i="1"/>
  <c r="F66" i="1"/>
  <c r="F23" i="1"/>
  <c r="F158" i="1" s="1"/>
  <c r="F144" i="1"/>
  <c r="F50" i="1"/>
  <c r="F43" i="1"/>
  <c r="F27" i="1"/>
  <c r="F38" i="1"/>
  <c r="F40" i="1" s="1"/>
  <c r="F35" i="1"/>
  <c r="F33" i="1"/>
  <c r="F41" i="1" l="1"/>
  <c r="F28" i="1"/>
  <c r="F26" i="1"/>
  <c r="F21" i="1"/>
  <c r="H19" i="1"/>
  <c r="F17" i="1"/>
  <c r="F16" i="1"/>
  <c r="F15" i="1"/>
  <c r="F13" i="1"/>
  <c r="F18" i="1" l="1"/>
  <c r="F31" i="1"/>
  <c r="F30" i="1"/>
  <c r="F29" i="1"/>
  <c r="F32" i="1" s="1"/>
  <c r="H23" i="1"/>
  <c r="H11" i="1"/>
  <c r="H10" i="1"/>
  <c r="H17" i="1"/>
  <c r="H16" i="1"/>
  <c r="H15" i="1"/>
  <c r="H14" i="1"/>
  <c r="H13" i="1"/>
  <c r="H18" i="1" l="1"/>
  <c r="F22" i="1"/>
  <c r="H22" i="1" s="1"/>
  <c r="H21" i="1" l="1"/>
  <c r="H24" i="1" s="1"/>
  <c r="H49" i="1"/>
  <c r="H50" i="1"/>
  <c r="H43" i="1"/>
  <c r="H42" i="1"/>
  <c r="H41" i="1"/>
  <c r="H40" i="1"/>
  <c r="F39" i="1"/>
  <c r="H39" i="1" s="1"/>
  <c r="H35" i="1"/>
  <c r="H33" i="1"/>
  <c r="H31" i="1"/>
  <c r="H30" i="1"/>
  <c r="H32" i="1"/>
  <c r="H28" i="1"/>
  <c r="H27" i="1"/>
  <c r="H26" i="1"/>
  <c r="I24" i="1" l="1"/>
  <c r="D9" i="2" s="1"/>
  <c r="H38" i="1"/>
  <c r="H46" i="1" s="1"/>
  <c r="H29" i="1"/>
  <c r="H36" i="1" s="1"/>
  <c r="I36" i="1" s="1"/>
  <c r="D10" i="2" s="1"/>
  <c r="I46" i="1" l="1"/>
  <c r="D11" i="2" s="1"/>
  <c r="H66" i="1" l="1"/>
  <c r="H67" i="1" l="1"/>
  <c r="H75" i="1" s="1"/>
  <c r="H109" i="1"/>
  <c r="H118" i="1"/>
  <c r="H90" i="1"/>
  <c r="H141" i="1"/>
  <c r="H120" i="1"/>
  <c r="H124" i="1"/>
  <c r="H98" i="1"/>
  <c r="H100" i="1"/>
  <c r="H97" i="1"/>
  <c r="I75" i="1" l="1"/>
  <c r="D14" i="2" s="1"/>
  <c r="H54" i="1"/>
  <c r="H125" i="1"/>
  <c r="H48" i="1" l="1"/>
  <c r="H51" i="1" s="1"/>
  <c r="I51" i="1" l="1"/>
  <c r="D12" i="2" s="1"/>
  <c r="H158" i="1" l="1"/>
  <c r="H159" i="1" s="1"/>
  <c r="I159" i="1" s="1"/>
  <c r="H148" i="1"/>
  <c r="H149" i="1"/>
  <c r="H150" i="1"/>
  <c r="H144" i="1"/>
  <c r="H119" i="1"/>
  <c r="H108" i="1"/>
  <c r="H110" i="1"/>
  <c r="H111" i="1"/>
  <c r="H112" i="1"/>
  <c r="H113" i="1"/>
  <c r="H116" i="1"/>
  <c r="H117" i="1"/>
  <c r="H106" i="1"/>
  <c r="H104" i="1"/>
  <c r="H139" i="1"/>
  <c r="H126" i="1"/>
  <c r="H138" i="1"/>
  <c r="H132" i="1"/>
  <c r="H137" i="1"/>
  <c r="H140" i="1"/>
  <c r="H136" i="1"/>
  <c r="H135" i="1"/>
  <c r="H128" i="1"/>
  <c r="H93" i="1"/>
  <c r="H94" i="1"/>
  <c r="H95" i="1"/>
  <c r="H92" i="1"/>
  <c r="H89" i="1"/>
  <c r="H55" i="1"/>
  <c r="H53" i="1"/>
  <c r="H86" i="1"/>
  <c r="H87" i="1"/>
  <c r="H88" i="1"/>
  <c r="H85" i="1"/>
  <c r="H133" i="1"/>
  <c r="H134" i="1"/>
  <c r="H127" i="1"/>
  <c r="H130" i="1"/>
  <c r="H131" i="1"/>
  <c r="D21" i="2" l="1"/>
  <c r="H64" i="1"/>
  <c r="I64" i="1" s="1"/>
  <c r="D13" i="2" s="1"/>
  <c r="H122" i="1"/>
  <c r="I122" i="1" s="1"/>
  <c r="D17" i="2" s="1"/>
  <c r="H146" i="1"/>
  <c r="I146" i="1" s="1"/>
  <c r="D19" i="2" s="1"/>
  <c r="H101" i="1"/>
  <c r="I101" i="1" s="1"/>
  <c r="D16" i="2" s="1"/>
  <c r="H156" i="1"/>
  <c r="H82" i="1"/>
  <c r="I82" i="1" s="1"/>
  <c r="D15" i="2" s="1"/>
  <c r="H142" i="1"/>
  <c r="I142" i="1" s="1"/>
  <c r="D18" i="2" s="1"/>
  <c r="I156" i="1" l="1"/>
  <c r="D20" i="2" s="1"/>
  <c r="K22" i="2" s="1"/>
  <c r="H160" i="1"/>
  <c r="I162" i="1" l="1"/>
  <c r="N22" i="2"/>
  <c r="H22" i="2"/>
  <c r="J22" i="2"/>
  <c r="L22" i="2"/>
  <c r="I22" i="2"/>
  <c r="M22" i="2"/>
  <c r="G22" i="2"/>
  <c r="H161" i="1"/>
  <c r="H162" i="1" s="1"/>
  <c r="D22" i="2"/>
  <c r="N23" i="2" l="1"/>
  <c r="O22" i="2"/>
  <c r="O23" i="2" s="1"/>
  <c r="E12" i="2"/>
  <c r="E16" i="2"/>
  <c r="E20" i="2"/>
  <c r="E13" i="2"/>
  <c r="E17" i="2"/>
  <c r="E21" i="2"/>
  <c r="E10" i="2"/>
  <c r="E14" i="2"/>
  <c r="E18" i="2"/>
  <c r="E15" i="2"/>
  <c r="E19" i="2"/>
  <c r="E11" i="2"/>
  <c r="E9" i="2"/>
  <c r="M23" i="2"/>
  <c r="J23" i="2"/>
  <c r="H23" i="2"/>
  <c r="K23" i="2"/>
  <c r="I23" i="2"/>
  <c r="L23" i="2"/>
  <c r="G23" i="2"/>
  <c r="E22" i="2" l="1"/>
</calcChain>
</file>

<file path=xl/sharedStrings.xml><?xml version="1.0" encoding="utf-8"?>
<sst xmlns="http://schemas.openxmlformats.org/spreadsheetml/2006/main" count="586" uniqueCount="414">
  <si>
    <t>PREFEITURA MUNICIPAL DE SANTO ANTÔNIO DO JARDIM</t>
  </si>
  <si>
    <t>PLANILHA ORÇAMENTÁRIA</t>
  </si>
  <si>
    <t>ITEM</t>
  </si>
  <si>
    <t>UN.</t>
  </si>
  <si>
    <t>QUANT.</t>
  </si>
  <si>
    <t>VALOR UN (R$)</t>
  </si>
  <si>
    <t>VALOR (R$)</t>
  </si>
  <si>
    <t>1.1</t>
  </si>
  <si>
    <t>TOTAL</t>
  </si>
  <si>
    <t>ESPECIFICAÇÕES DOS SERVIÇOS</t>
  </si>
  <si>
    <t>44.01.050</t>
  </si>
  <si>
    <t>Bacia sifonada de louça sem tampa - 6 litros</t>
  </si>
  <si>
    <t>m²</t>
  </si>
  <si>
    <t>Saboneteira tipo dispenser, para refil de 800 ml</t>
  </si>
  <si>
    <t>44.03.130</t>
  </si>
  <si>
    <t>Dispenser toalheiro em ABS, para folhas</t>
  </si>
  <si>
    <t>44.03.180</t>
  </si>
  <si>
    <t>Dispenser papel higiênico em ABS para rolão 300 / 600 m, com visor</t>
  </si>
  <si>
    <t>44.03.050</t>
  </si>
  <si>
    <t>m</t>
  </si>
  <si>
    <t>m³</t>
  </si>
  <si>
    <t>02.08.020</t>
  </si>
  <si>
    <t>un</t>
  </si>
  <si>
    <t>kg</t>
  </si>
  <si>
    <t>4.1</t>
  </si>
  <si>
    <t>Pisos e Revestimentos</t>
  </si>
  <si>
    <t>17.01.040</t>
  </si>
  <si>
    <t>Chapisco</t>
  </si>
  <si>
    <t>17.02.020</t>
  </si>
  <si>
    <t>17.02.140</t>
  </si>
  <si>
    <t>Emboço desempenado com espuma de poliéster</t>
  </si>
  <si>
    <t>Águas pluviais</t>
  </si>
  <si>
    <t>7.2</t>
  </si>
  <si>
    <t>7.3</t>
  </si>
  <si>
    <t>8.2</t>
  </si>
  <si>
    <t>8.3</t>
  </si>
  <si>
    <t>49.03.020</t>
  </si>
  <si>
    <t>Caixa de gordura em alvenaria, 60 x 60 x 60 cm</t>
  </si>
  <si>
    <t>9.1</t>
  </si>
  <si>
    <t>9.2</t>
  </si>
  <si>
    <t>28.01.040</t>
  </si>
  <si>
    <t>Ferragem completa com maçaneta tipo alavanca para porta interna com 1 folha</t>
  </si>
  <si>
    <t>cj</t>
  </si>
  <si>
    <t>28.01.070</t>
  </si>
  <si>
    <t>Ferragem completa para porta de box de WC tipo livre/ocupado</t>
  </si>
  <si>
    <t>10.1</t>
  </si>
  <si>
    <t>10.2</t>
  </si>
  <si>
    <t>Instalações Hidráulicas</t>
  </si>
  <si>
    <t>Água Fria</t>
  </si>
  <si>
    <t>46.01.020</t>
  </si>
  <si>
    <t>Tubo de PVC rígido soldável marrom, DN= 25 mm, (3/4´), inclusive conexões</t>
  </si>
  <si>
    <t>46.01.050</t>
  </si>
  <si>
    <t>Tubo de PVC rígido soldável marrom, DN= 50 mm, (1 1/2´), inclusive conexões</t>
  </si>
  <si>
    <t>47.01.050</t>
  </si>
  <si>
    <t>Registro de gaveta em latão fundido sem acabamento, DN= 1 1/2´</t>
  </si>
  <si>
    <t>48.05.040</t>
  </si>
  <si>
    <t>Torneira de boia, DN= 1 1/2´</t>
  </si>
  <si>
    <t>47.01.020</t>
  </si>
  <si>
    <t>Registro de gaveta em latão fundido sem acabamento, DN= 3/4´</t>
  </si>
  <si>
    <t>Esgoto</t>
  </si>
  <si>
    <t>11.1</t>
  </si>
  <si>
    <t>11.2</t>
  </si>
  <si>
    <t>11.3</t>
  </si>
  <si>
    <t>44.20.280</t>
  </si>
  <si>
    <t>Tampa de plástico para bacia sanitária</t>
  </si>
  <si>
    <t>44.20.300</t>
  </si>
  <si>
    <t>Bolsa para bacia sanitária</t>
  </si>
  <si>
    <t>44.20.230</t>
  </si>
  <si>
    <t>Tubo de ligação para sanitário</t>
  </si>
  <si>
    <t>44.01.270</t>
  </si>
  <si>
    <t>Cuba de louça de embutir oval</t>
  </si>
  <si>
    <t>44.20.650</t>
  </si>
  <si>
    <t>Válvula de metal cromado de 1´</t>
  </si>
  <si>
    <t>44.20.010</t>
  </si>
  <si>
    <t>Sifão plástico sanfonado universal de 1´</t>
  </si>
  <si>
    <t>Instalações Elétricas</t>
  </si>
  <si>
    <t>Entrada</t>
  </si>
  <si>
    <t>39.03.170</t>
  </si>
  <si>
    <t>Distribuição</t>
  </si>
  <si>
    <t>37.03.200</t>
  </si>
  <si>
    <t>Quadro de distribuição universal de embutir, para disjuntores 16 DIN / 12 Bolt-on - 150 A - sem componentes</t>
  </si>
  <si>
    <t>Disjuntor termomagnético, unipolar 127/220 V, corrente de 35 A até 50 A</t>
  </si>
  <si>
    <t>37.13.610</t>
  </si>
  <si>
    <t>38.19.030</t>
  </si>
  <si>
    <t>Eletroduto de PVC corrugado flexível leve, diâmetro externo de 25 mm</t>
  </si>
  <si>
    <t>39.02.020</t>
  </si>
  <si>
    <t>Cabo de cobre de 4 mm², isolamento 750 V - isolação em PVC 70°C</t>
  </si>
  <si>
    <t>39.02.016</t>
  </si>
  <si>
    <t>Cabo de cobre de 2,5 mm², isolamento 750 V - isolação em PVC 70°C</t>
  </si>
  <si>
    <t>39.02.010</t>
  </si>
  <si>
    <t>Cabo de cobre de 1,5 mm², isolamento 750 V - isolação em PVC 70°C</t>
  </si>
  <si>
    <t>12.1</t>
  </si>
  <si>
    <t>12.2</t>
  </si>
  <si>
    <t>Iluminação e tomadas</t>
  </si>
  <si>
    <t>40.07.010</t>
  </si>
  <si>
    <t>Caixa em PVC de 4´ x 2´</t>
  </si>
  <si>
    <t>40.05.020</t>
  </si>
  <si>
    <t>Interruptor com 1 tecla simples e placa</t>
  </si>
  <si>
    <t>40.04.460</t>
  </si>
  <si>
    <t>Tomada 2P+T de 20 A - 250 V, completa</t>
  </si>
  <si>
    <t>Pintura</t>
  </si>
  <si>
    <t>33.10.050</t>
  </si>
  <si>
    <t>Tinta acrílica em massa, inclusive preparo</t>
  </si>
  <si>
    <t>55.01.020</t>
  </si>
  <si>
    <t>Limpeza final da obra</t>
  </si>
  <si>
    <t>Esquadrias</t>
  </si>
  <si>
    <t>TOTAL C/ BDI</t>
  </si>
  <si>
    <t>BDI</t>
  </si>
  <si>
    <t xml:space="preserve"> </t>
  </si>
  <si>
    <t>CDHU</t>
  </si>
  <si>
    <t>05.07.040</t>
  </si>
  <si>
    <t>Vedação/Paredes</t>
  </si>
  <si>
    <t>Cobertura</t>
  </si>
  <si>
    <t>4.2</t>
  </si>
  <si>
    <t>Total</t>
  </si>
  <si>
    <t>1.2</t>
  </si>
  <si>
    <t>10.3</t>
  </si>
  <si>
    <t>44.02.062</t>
  </si>
  <si>
    <t>Tampo/bancada em granito, com frontão, espessura de 2 cm,
acabamento polido</t>
  </si>
  <si>
    <t xml:space="preserve">BDI= </t>
  </si>
  <si>
    <t xml:space="preserve"> _______________________________                                                                          _______________________________</t>
  </si>
  <si>
    <t xml:space="preserve">         Osvaldo Moreira                                                                                                           Júlio César Silva Amaral</t>
  </si>
  <si>
    <t xml:space="preserve">                                                                                                                                                  CREA 5070325090</t>
  </si>
  <si>
    <t>CRONOGRAMA</t>
  </si>
  <si>
    <t>LOCAL:</t>
  </si>
  <si>
    <t>DISCRIMINAÇÃO DE ATIVIDADES</t>
  </si>
  <si>
    <t>TOTAIS</t>
  </si>
  <si>
    <t>44.03.645</t>
  </si>
  <si>
    <t>%</t>
  </si>
  <si>
    <t>Inicial</t>
  </si>
  <si>
    <t>Mês</t>
  </si>
  <si>
    <t>CUSTO TOTAL (INLCUSO BDI)</t>
  </si>
  <si>
    <t>R$</t>
  </si>
  <si>
    <t>Louças e Metais</t>
  </si>
  <si>
    <t>8.1</t>
  </si>
  <si>
    <t>Limpeza Final</t>
  </si>
  <si>
    <t>Serviços Complementares</t>
  </si>
  <si>
    <t>Exec.</t>
  </si>
  <si>
    <t>Acumulado</t>
  </si>
  <si>
    <t>Final</t>
  </si>
  <si>
    <t>7.1</t>
  </si>
  <si>
    <t>46.02.050</t>
  </si>
  <si>
    <t>46.02.070</t>
  </si>
  <si>
    <t>Locação de container tipo depósito ‐ área mínima de 13,80 m²</t>
  </si>
  <si>
    <t>02.02.150</t>
  </si>
  <si>
    <t>14.02.030</t>
  </si>
  <si>
    <t>Alvenaria de elevação de 1/2 tijolo maciço comum</t>
  </si>
  <si>
    <t>03.04.020</t>
  </si>
  <si>
    <t>Demolição manual de revestimento cerâmico, incluindo a base</t>
  </si>
  <si>
    <t>04.01.060</t>
  </si>
  <si>
    <t>Retirada de divisória em placa de concreto, granito, granilite ou mármore</t>
  </si>
  <si>
    <t>1.3</t>
  </si>
  <si>
    <t>1.4</t>
  </si>
  <si>
    <t>3.1</t>
  </si>
  <si>
    <t>3.2</t>
  </si>
  <si>
    <t>4.3</t>
  </si>
  <si>
    <t>4.4</t>
  </si>
  <si>
    <t>15.03.030</t>
  </si>
  <si>
    <t>41.31.040</t>
  </si>
  <si>
    <t>Divisória em placas de granito com espessura de 3 cm</t>
  </si>
  <si>
    <t>14.30.010</t>
  </si>
  <si>
    <t>Interruptor com 2 teclas simples e placa</t>
  </si>
  <si>
    <t>Placa de Identificação da Obra (2,00m x 3,00 m)</t>
  </si>
  <si>
    <t>40.05.040</t>
  </si>
  <si>
    <t>Disjuntor termomagnético, bipolar 220/380 V, corrente de 10 A até 50 A</t>
  </si>
  <si>
    <t>37.13.630</t>
  </si>
  <si>
    <t xml:space="preserve">un </t>
  </si>
  <si>
    <t>7.4</t>
  </si>
  <si>
    <t>Luminária LED retangular de sobrepor com difusor translúcido, 4000 K, fluxo luminoso de 3690 a 4800 lm, potência de 38 W a 41 W (interno)</t>
  </si>
  <si>
    <t>33.07.140</t>
  </si>
  <si>
    <t>49.01.040</t>
  </si>
  <si>
    <t>Caixa sifonada de PVC rígido de 150 x 185 x 75 mm, com grelha</t>
  </si>
  <si>
    <t>16.13.140</t>
  </si>
  <si>
    <t>unmês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</si>
  <si>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</si>
  <si>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</si>
  <si>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</si>
  <si>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</si>
  <si>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</si>
  <si>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</si>
  <si>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</si>
  <si>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</si>
  <si>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</si>
  <si>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</si>
  <si>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</si>
  <si>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</si>
  <si>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</si>
  <si>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8.1.1</t>
  </si>
  <si>
    <t>8.1.2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</si>
  <si>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</si>
  <si>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</si>
  <si>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</si>
  <si>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</si>
  <si>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</si>
  <si>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</si>
  <si>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</si>
  <si>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</si>
  <si>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Rua Flor de Liz, Jardim Primavera.</t>
  </si>
  <si>
    <t xml:space="preserve">                                                                                                                                             CREA 5070325090</t>
  </si>
  <si>
    <t>Infraestrutura</t>
  </si>
  <si>
    <t>Supraestrutura</t>
  </si>
  <si>
    <t>06.02.020</t>
  </si>
  <si>
    <t>Escavação manual em solo de 1ª e 2ª categoria em vala ou cava até 1,50 m</t>
  </si>
  <si>
    <t>12.01.041</t>
  </si>
  <si>
    <t>11.18.040</t>
  </si>
  <si>
    <t>Lastro de pedra britada</t>
  </si>
  <si>
    <t>11.03.090</t>
  </si>
  <si>
    <t>Concreto preparado no local, fck = 20,0 Mpa (blocos e baldrames)</t>
  </si>
  <si>
    <t>10.01.040</t>
  </si>
  <si>
    <t>Armadura em barra de aço CA-50 (A ou B) fyk= 500 MPa</t>
  </si>
  <si>
    <t>10.01.060</t>
  </si>
  <si>
    <t>Armadura em barra de aço CA-60 (A ou B) fyk= 600 MPa</t>
  </si>
  <si>
    <t>11.16.040</t>
  </si>
  <si>
    <t>Lançamento e adensamento de concreto ou massa em fundação</t>
  </si>
  <si>
    <t>09.01.020</t>
  </si>
  <si>
    <t>Forma em madeira comum para fundação</t>
  </si>
  <si>
    <t>32.16.010</t>
  </si>
  <si>
    <t>Impermeabilização em pintura de asfalto oxidado com solventes orgânicos, sobre massa</t>
  </si>
  <si>
    <t>3.3</t>
  </si>
  <si>
    <t>3.4</t>
  </si>
  <si>
    <t>3.5</t>
  </si>
  <si>
    <t>3.6</t>
  </si>
  <si>
    <t>3.7</t>
  </si>
  <si>
    <t>3.8</t>
  </si>
  <si>
    <t>3.9</t>
  </si>
  <si>
    <t xml:space="preserve">Concreto preparado no local, fck = 20,0 Mpa </t>
  </si>
  <si>
    <t>11.16.060</t>
  </si>
  <si>
    <t>Lançamento e adensamento de concreto ou massa em estrutura</t>
  </si>
  <si>
    <t>Armadura em barra de aço CA-50 (A ou B) fyk= 500 Mpa</t>
  </si>
  <si>
    <t>09.01.030</t>
  </si>
  <si>
    <t>Forma em madeira comum para estrutura</t>
  </si>
  <si>
    <t>14.20.010</t>
  </si>
  <si>
    <t>Vergas, contravergas e pilaretes de concreto armado</t>
  </si>
  <si>
    <t>14.04.220</t>
  </si>
  <si>
    <t>Alvenaria de bloco cerâmico de vedação, uso revestido, de 19 cm</t>
  </si>
  <si>
    <t>Serviços Preliminares e Gerais</t>
  </si>
  <si>
    <t>Placa de Obra</t>
  </si>
  <si>
    <t>1.1.1</t>
  </si>
  <si>
    <t>1.2.1</t>
  </si>
  <si>
    <t>03.02.040</t>
  </si>
  <si>
    <t>1.2.2</t>
  </si>
  <si>
    <t>1.2.3</t>
  </si>
  <si>
    <t>1.2.4</t>
  </si>
  <si>
    <t>04.08.020</t>
  </si>
  <si>
    <t>Retirada de folha de esquadria em madeira</t>
  </si>
  <si>
    <t>1.2.5</t>
  </si>
  <si>
    <t>04.08.060</t>
  </si>
  <si>
    <t>Retirada de batente com guarnição e peças lineares em madeira, chumbados</t>
  </si>
  <si>
    <t>1.2.6</t>
  </si>
  <si>
    <t>04.14.040</t>
  </si>
  <si>
    <t>Retirada de esquadria em vidro</t>
  </si>
  <si>
    <t>1.2.7</t>
  </si>
  <si>
    <t>1.3.1</t>
  </si>
  <si>
    <t>1.3.2</t>
  </si>
  <si>
    <t>02.10.020</t>
  </si>
  <si>
    <t>Locação de obra de edificação</t>
  </si>
  <si>
    <t>1.1.2</t>
  </si>
  <si>
    <t>Limpeza de Terreno e Terraplanagem</t>
  </si>
  <si>
    <t>Demolição/Retirada c/ Reaproveitamento</t>
  </si>
  <si>
    <t>07.01.020</t>
  </si>
  <si>
    <t>Escavação e carga mecanizada em solo de 1ª categoria, em campo aberto</t>
  </si>
  <si>
    <t>07.01.120</t>
  </si>
  <si>
    <t>Carga e remoção de terra até a distância média de 1 km</t>
  </si>
  <si>
    <t>Broca em concreto armado diâmetro de 25 cm - completa</t>
  </si>
  <si>
    <t>25.02.300</t>
  </si>
  <si>
    <t>25.01.030</t>
  </si>
  <si>
    <t>Caixilho em alumínio basculante com vidro, linha comercial</t>
  </si>
  <si>
    <t>19.01.062</t>
  </si>
  <si>
    <t>Lastro de concreto impermeabilizado (e= 5cm)</t>
  </si>
  <si>
    <t>46.03.060</t>
  </si>
  <si>
    <t>Cabo de cobre de 2,5 mm², isolamento 0,6/1 kV ‐ isolação em PVC 70°C</t>
  </si>
  <si>
    <t>37.04.250</t>
  </si>
  <si>
    <t>Quadro de distribuição universal de sobrepor, para disjuntores 16 DIN / 12
Bolt‐on ‐ 150 A ‐ sem componentes</t>
  </si>
  <si>
    <t>41.12.210</t>
  </si>
  <si>
    <t>11.16.080</t>
  </si>
  <si>
    <t>Lançamento e adensamento de concreto ou massa por bombeamento</t>
  </si>
  <si>
    <t>Nivelamento de piso em concreto com acabadora de superfície</t>
  </si>
  <si>
    <t>11.16.220</t>
  </si>
  <si>
    <t>48.02.400</t>
  </si>
  <si>
    <t>54.04.342</t>
  </si>
  <si>
    <t>23.13.001</t>
  </si>
  <si>
    <t>39.03.182</t>
  </si>
  <si>
    <t>Cabo de cobre de 10 mm², isolamento 0,6/1 kV ‐ isolação em PVC 70°C</t>
  </si>
  <si>
    <t>44.03.440</t>
  </si>
  <si>
    <t>47.04.040</t>
  </si>
  <si>
    <t>Válvula de descarga com registro próprio, DN= 1 1/2´</t>
  </si>
  <si>
    <t>Engate flexível metálico DN= 1/2´</t>
  </si>
  <si>
    <t>44.20.100</t>
  </si>
  <si>
    <t>47.02.020</t>
  </si>
  <si>
    <t>47.02.050</t>
  </si>
  <si>
    <t>14.01.020</t>
  </si>
  <si>
    <t>Alvenaria de embasamento em tijolo maciço comum</t>
  </si>
  <si>
    <t>35.01.150</t>
  </si>
  <si>
    <t>Trave oficial completa com rede para futebol de salão</t>
  </si>
  <si>
    <t>Tabela completa com suporte e rede para basquete</t>
  </si>
  <si>
    <t>35.01.170</t>
  </si>
  <si>
    <t>Poste oficial completo com rede para voleibol</t>
  </si>
  <si>
    <t>34.05.270</t>
  </si>
  <si>
    <t>Alambrado em tela de aço galvanizado de 2´, montantes metálicos retos</t>
  </si>
  <si>
    <t>24.02.040</t>
  </si>
  <si>
    <t>Porta/portão tipo gradil sob medida</t>
  </si>
  <si>
    <t>02.03.060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</si>
  <si>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</si>
  <si>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</si>
  <si>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</si>
  <si>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</si>
  <si>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</si>
  <si>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</si>
  <si>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</si>
  <si>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</si>
  <si>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</si>
  <si>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</si>
  <si>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</si>
  <si>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Reservatório em polietileno com tampa de rosca ‐ capacidade de 1.000 litros (troca de reservatórios)</t>
  </si>
  <si>
    <t>5.8</t>
  </si>
  <si>
    <t>5.9</t>
  </si>
  <si>
    <t>27.02.001</t>
  </si>
  <si>
    <t>6.7</t>
  </si>
  <si>
    <t>6.8</t>
  </si>
  <si>
    <t>6.9</t>
  </si>
  <si>
    <t>6.10</t>
  </si>
  <si>
    <t>7.5</t>
  </si>
  <si>
    <t>7.6</t>
  </si>
  <si>
    <t>8.1.3</t>
  </si>
  <si>
    <t>8.1.4</t>
  </si>
  <si>
    <t>8.1.5</t>
  </si>
  <si>
    <t>8.1.6</t>
  </si>
  <si>
    <t>8.4</t>
  </si>
  <si>
    <t>9.1.1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</si>
  <si>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</si>
  <si>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</si>
  <si>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</si>
  <si>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</si>
  <si>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</si>
  <si>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</si>
  <si>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</si>
  <si>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</si>
  <si>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</si>
  <si>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</si>
  <si>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</si>
  <si>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</si>
  <si>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</si>
  <si>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</si>
  <si>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</si>
  <si>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</si>
  <si>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</si>
  <si>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</si>
  <si>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</si>
  <si>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</si>
  <si>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</si>
  <si>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</si>
  <si>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</si>
  <si>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</si>
  <si>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</si>
  <si>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</si>
  <si>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</si>
  <si>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</si>
  <si>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</si>
  <si>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</si>
  <si>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</si>
  <si>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</si>
  <si>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</si>
  <si>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12.3</t>
  </si>
  <si>
    <t>12.4</t>
  </si>
  <si>
    <t>12.5</t>
  </si>
  <si>
    <t>12.6</t>
  </si>
  <si>
    <t>12.7</t>
  </si>
  <si>
    <t>12.8</t>
  </si>
  <si>
    <t>Fornecimento e montagem de estrutura em aço ASTM‐A36, sem pintura (Coberturas de acesso as escolas e quadra)</t>
  </si>
  <si>
    <t>Pintura com esmalte alquídico em estrutura metálica (Coberturas de acesso as escolas e quadra)</t>
  </si>
  <si>
    <t>13.01.150</t>
  </si>
  <si>
    <t>11.01.130</t>
  </si>
  <si>
    <t>Concreto usinado, fck = 25 Mpa</t>
  </si>
  <si>
    <t>Chapa em policarbonato compacta, fumê, espessura de 6 mm (cor cinza - transmissão de luz = 20%) (Coberturas de acesso as escolas e quadra)</t>
  </si>
  <si>
    <t>35.01.160</t>
  </si>
  <si>
    <t xml:space="preserve">                       Prefeito Municipal                                                                                         Diretor de Obras e Planejamento Urbano</t>
  </si>
  <si>
    <t xml:space="preserve">Modificação, Ampliação e Construção Salas e Quadra Esportiva EMEB Governador Mário Covas </t>
  </si>
  <si>
    <t>33.10.060</t>
  </si>
  <si>
    <t>Epóxi em massa, inclusive preparo</t>
  </si>
  <si>
    <t>Demolição manual de alvenaria de elevação ou elemento vazado, incluindo revestimento</t>
  </si>
  <si>
    <t>Remoção de entulho separado de obra com caçamba metálica - terra, alvenaria, concreto, argamassa, madeira, papel, plástico ou metal</t>
  </si>
  <si>
    <t>Laje pré‐fabricada mista vigota treliçada/lajota cerâmica ‐ LT 16 (12+4) e capa com concreto de 25 Mpa</t>
  </si>
  <si>
    <t>Peitoril e/ou soleira em granito, espessura de 2 cm e largura até 20 cm, acabamento polido</t>
  </si>
  <si>
    <t>Porta lisa de madeira, interna "PIM", para acabamento em pintura, padrão dimensional médio/pesado, com ferragens, completo ‐ 80 x 210 cm</t>
  </si>
  <si>
    <t>Porta de abrir em alumínio com pintura eletrostática, sob medida - cor branca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</si>
  <si>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</si>
  <si>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</si>
  <si>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´R´. DN= 150 mm, inclusive conexões</t>
  </si>
  <si>
    <t>Projetor LED modular, fluxo luminoso de 26294 lm, eficiência mínima de 125 l/W ‐ 150 W/200 W</t>
  </si>
  <si>
    <t>Torneira para bancada automática, acionamento hidromecânico, em latão cromado, DN= 1/2´ou 3/4´</t>
  </si>
  <si>
    <t>Torneira curta sem rosca para uso geral, em latão fundido cromado, DN= 3/4´</t>
  </si>
  <si>
    <t>Registro de gaveta em latão fundido cromado com canopla, DN= 1 1/2´ ‐ linha especial</t>
  </si>
  <si>
    <t>Pavimentação em lajota de concreto 35 MPa, espessura 6 cm, colorido, tipos: raquete, retangular, sextavado e 16 faces, com rejunte em areia</t>
  </si>
  <si>
    <t xml:space="preserve">                   Prefeito Municipal                                                                                          Diretor de Obras e Planejamento Urbano</t>
  </si>
  <si>
    <t>18.06.142</t>
  </si>
  <si>
    <t>Placa cerâmica esmaltada antiderrapante PEI‐5 para área interna com saída para o exterior, grupo de absorção BIIa, resistência química A, assentado com argamassa colante industrializada</t>
  </si>
  <si>
    <t>CPOS 188 (Sem Desoneração) - DATA: 26/12/2022</t>
  </si>
  <si>
    <t>5.10</t>
  </si>
  <si>
    <t>5.11</t>
  </si>
  <si>
    <t>10.02.020</t>
  </si>
  <si>
    <t>Armadura em tela soldada de aço</t>
  </si>
  <si>
    <t>11.18.060</t>
  </si>
  <si>
    <t>Lona plástica</t>
  </si>
  <si>
    <t>12.9</t>
  </si>
  <si>
    <t>16.33.062</t>
  </si>
  <si>
    <t>Calha, rufo, afins em chapa galvanizada nº 24 ‐ corte 1,00 m</t>
  </si>
  <si>
    <t>Santo Antônio do Jardim-SP, 28 de fevereiro de 2023.</t>
  </si>
  <si>
    <t>Fornecimento e montagem de estrutura em aço ASTM‐A36, sem pintura (Cobertura Salas)</t>
  </si>
  <si>
    <t>Pintura com esmalte alquídico em estrutura metálica (Cobertura Salas)</t>
  </si>
  <si>
    <t>Telhamento em chapa de aço galvanizado autoportante, perfil trapezoidal, com espessura de 0,80 mm e altura de 120 mm (Cobertura Salas)</t>
  </si>
  <si>
    <t>Fornecimento e montagem de estrutura em aço ASTM‐A36, sem pintura (Quadra Espostiva)</t>
  </si>
  <si>
    <t>Pintura com esmalte alquídico em estrutura metálica (Quadra Espostiva)</t>
  </si>
  <si>
    <t>Telhamento em chapa de aço galvanizado autoportante, perfil trapezoidal, com espessura de 0,80 mm e altura de 120 mm (Quadra Espostiva)</t>
  </si>
  <si>
    <t>Proteção de fachada com tela de nylon (Cobertura Quadra Espostiva)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</si>
</sst>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 vertical="center"/>
    </xf>
    <xf numFmtId="164" fontId="0" fillId="0" borderId="0" xfId="2" applyNumberFormat="1" applyFont="1"/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left" vertical="center"/>
    </xf>
    <xf numFmtId="0" fontId="0" fillId="2" borderId="0" xfId="0" applyFill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0" fontId="10" fillId="0" borderId="7" xfId="0" applyNumberFormat="1" applyFont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10" fontId="14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7" fillId="0" borderId="9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57151</xdr:rowOff>
    </xdr:from>
    <xdr:to>
      <xdr:col>3</xdr:col>
      <xdr:colOff>104887</xdr:colOff>
      <xdr:row>5</xdr:row>
      <xdr:rowOff>133350</xdr:rowOff>
    </xdr:to>
    <xdr:pic>
      <xdr:nvPicPr>
        <xdr:cNvPr id="3" name="Imagem 2" descr="brasa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1" y="57151"/>
          <a:ext cx="1581149" cy="1095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</xdr:rowOff>
    </xdr:from>
    <xdr:to>
      <xdr:col>3</xdr:col>
      <xdr:colOff>514350</xdr:colOff>
      <xdr:row>4</xdr:row>
      <xdr:rowOff>161926</xdr:rowOff>
    </xdr:to>
    <xdr:pic>
      <xdr:nvPicPr>
        <xdr:cNvPr id="2" name="Imagem 1" descr="brasao.gif">
          <a:extLst>
            <a:ext uri="{FF2B5EF4-FFF2-40B4-BE49-F238E27FC236}">
              <a16:creationId xmlns:a16="http://schemas.microsoft.com/office/drawing/2014/main" id="{25C9E68C-0EA7-4B4D-9C55-3692916A1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"/>
          <a:ext cx="1333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3"/>
  <sheetViews>
    <sheetView tabSelected="1" zoomScale="115" zoomScaleNormal="115" workbookViewId="0">
      <selection activeCell="D155" sqref="D155"/>
    </sheetView>
  </sheetViews>
  <sheetFormatPr defaultRowHeight="15" x14ac:dyDescent="0.25"/>
  <cols>
    <col min="1" max="1" width="3.28515625" customWidth="1"/>
    <col min="2" max="2" width="10.7109375" style="2" bestFit="1" customWidth="1"/>
    <col min="3" max="3" width="11.5703125" style="2" bestFit="1" customWidth="1"/>
    <col min="4" max="4" width="58.28515625" style="48" customWidth="1"/>
    <col min="5" max="5" width="9.7109375" bestFit="1" customWidth="1"/>
    <col min="6" max="6" width="13.28515625" bestFit="1" customWidth="1"/>
    <col min="7" max="7" width="19.5703125" customWidth="1"/>
    <col min="8" max="8" width="15.85546875" bestFit="1" customWidth="1"/>
    <col min="9" max="9" width="15.5703125" bestFit="1" customWidth="1"/>
    <col min="10" max="10" width="11.7109375" bestFit="1" customWidth="1"/>
    <col min="11" max="11" width="65.140625" bestFit="1" customWidth="1"/>
  </cols>
  <sheetData>
    <row r="1" spans="1:11" x14ac:dyDescent="0.25">
      <c r="A1" s="8"/>
      <c r="D1" s="43"/>
      <c r="E1" s="8"/>
      <c r="F1" s="8"/>
      <c r="G1" s="8"/>
      <c r="H1" s="8"/>
    </row>
    <row r="2" spans="1:11" ht="18.75" x14ac:dyDescent="0.3">
      <c r="A2" s="8"/>
      <c r="D2" s="76" t="s">
        <v>0</v>
      </c>
      <c r="E2" s="76"/>
      <c r="F2" s="76"/>
      <c r="G2" s="76"/>
      <c r="H2" s="76"/>
      <c r="I2" s="5"/>
      <c r="K2" s="3"/>
    </row>
    <row r="3" spans="1:11" x14ac:dyDescent="0.25">
      <c r="A3" s="8"/>
      <c r="D3" s="44"/>
      <c r="E3" s="2"/>
      <c r="F3" s="2"/>
      <c r="G3" s="2"/>
      <c r="H3" s="2"/>
      <c r="I3" s="1"/>
    </row>
    <row r="4" spans="1:11" ht="15.75" x14ac:dyDescent="0.25">
      <c r="A4" s="8"/>
      <c r="D4" s="66" t="s">
        <v>1</v>
      </c>
      <c r="E4" s="66"/>
      <c r="F4" s="66"/>
      <c r="G4" s="66"/>
      <c r="H4" s="66"/>
      <c r="I4" s="1"/>
    </row>
    <row r="5" spans="1:11" ht="15.75" x14ac:dyDescent="0.25">
      <c r="A5" s="8"/>
      <c r="D5" s="66" t="s">
        <v>376</v>
      </c>
      <c r="E5" s="66"/>
      <c r="F5" s="66"/>
      <c r="G5" s="66"/>
      <c r="H5" s="66"/>
      <c r="I5" s="1"/>
    </row>
    <row r="6" spans="1:11" x14ac:dyDescent="0.25">
      <c r="A6" s="8"/>
      <c r="D6" s="43"/>
      <c r="E6" s="8"/>
      <c r="F6" s="8"/>
      <c r="G6" s="2"/>
      <c r="H6" s="2"/>
      <c r="I6" s="1"/>
    </row>
    <row r="7" spans="1:11" x14ac:dyDescent="0.25">
      <c r="A7" s="8"/>
      <c r="B7" s="18" t="s">
        <v>2</v>
      </c>
      <c r="C7" s="18" t="s">
        <v>109</v>
      </c>
      <c r="D7" s="45" t="s">
        <v>9</v>
      </c>
      <c r="E7" s="18" t="s">
        <v>3</v>
      </c>
      <c r="F7" s="18" t="s">
        <v>4</v>
      </c>
      <c r="G7" s="18" t="s">
        <v>5</v>
      </c>
      <c r="H7" s="18" t="s">
        <v>6</v>
      </c>
    </row>
    <row r="8" spans="1:11" x14ac:dyDescent="0.25">
      <c r="A8" s="8"/>
      <c r="B8" s="18">
        <v>1</v>
      </c>
      <c r="C8" s="73" t="s">
        <v>235</v>
      </c>
      <c r="D8" s="74"/>
      <c r="E8" s="74"/>
      <c r="F8" s="74"/>
      <c r="G8" s="74"/>
      <c r="H8" s="75"/>
    </row>
    <row r="9" spans="1:11" x14ac:dyDescent="0.25">
      <c r="A9" s="8"/>
      <c r="B9" s="18" t="s">
        <v>7</v>
      </c>
      <c r="C9" s="73" t="s">
        <v>236</v>
      </c>
      <c r="D9" s="74"/>
      <c r="E9" s="74"/>
      <c r="F9" s="74"/>
      <c r="G9" s="74"/>
      <c r="H9" s="75"/>
    </row>
    <row r="10" spans="1:11" x14ac:dyDescent="0.25">
      <c r="A10" s="8"/>
      <c r="B10" s="19" t="s">
        <v>237</v>
      </c>
      <c r="C10" s="19" t="s">
        <v>21</v>
      </c>
      <c r="D10" s="23" t="s">
        <v>162</v>
      </c>
      <c r="E10" s="19" t="s">
        <v>12</v>
      </c>
      <c r="F10" s="21">
        <v>6</v>
      </c>
      <c r="G10" s="22">
        <v>894.32</v>
      </c>
      <c r="H10" s="22">
        <f>G10*F10</f>
        <v>5365.92</v>
      </c>
    </row>
    <row r="11" spans="1:11" x14ac:dyDescent="0.25">
      <c r="A11" s="8"/>
      <c r="B11" s="19" t="s">
        <v>256</v>
      </c>
      <c r="C11" s="19" t="s">
        <v>144</v>
      </c>
      <c r="D11" s="23" t="s">
        <v>143</v>
      </c>
      <c r="E11" s="19" t="s">
        <v>173</v>
      </c>
      <c r="F11" s="21">
        <v>8</v>
      </c>
      <c r="G11" s="22">
        <v>781.71</v>
      </c>
      <c r="H11" s="22">
        <f>F11*G11</f>
        <v>6253.68</v>
      </c>
    </row>
    <row r="12" spans="1:11" x14ac:dyDescent="0.25">
      <c r="A12" s="8"/>
      <c r="B12" s="18" t="s">
        <v>115</v>
      </c>
      <c r="C12" s="87" t="s">
        <v>258</v>
      </c>
      <c r="D12" s="88"/>
      <c r="E12" s="88"/>
      <c r="F12" s="88"/>
      <c r="G12" s="88"/>
      <c r="H12" s="89"/>
    </row>
    <row r="13" spans="1:11" ht="30" x14ac:dyDescent="0.25">
      <c r="A13" s="8"/>
      <c r="B13" s="19" t="s">
        <v>238</v>
      </c>
      <c r="C13" s="20" t="s">
        <v>239</v>
      </c>
      <c r="D13" s="23" t="s">
        <v>379</v>
      </c>
      <c r="E13" s="20" t="s">
        <v>20</v>
      </c>
      <c r="F13" s="24">
        <f>(((2.3+10.35+6+4.1+1.4)*3)*0.2)</f>
        <v>14.489999999999998</v>
      </c>
      <c r="G13" s="25">
        <v>77.88</v>
      </c>
      <c r="H13" s="26">
        <f t="shared" ref="H13:H19" si="0">G13*F13</f>
        <v>1128.4811999999997</v>
      </c>
    </row>
    <row r="14" spans="1:11" x14ac:dyDescent="0.25">
      <c r="A14" s="8"/>
      <c r="B14" s="19" t="s">
        <v>240</v>
      </c>
      <c r="C14" s="20" t="s">
        <v>243</v>
      </c>
      <c r="D14" s="23" t="s">
        <v>244</v>
      </c>
      <c r="E14" s="20" t="s">
        <v>22</v>
      </c>
      <c r="F14" s="24">
        <v>3</v>
      </c>
      <c r="G14" s="25">
        <v>21.59</v>
      </c>
      <c r="H14" s="26">
        <f t="shared" si="0"/>
        <v>64.77</v>
      </c>
    </row>
    <row r="15" spans="1:11" ht="30" x14ac:dyDescent="0.25">
      <c r="A15" s="8"/>
      <c r="B15" s="19" t="s">
        <v>241</v>
      </c>
      <c r="C15" s="20" t="s">
        <v>246</v>
      </c>
      <c r="D15" s="23" t="s">
        <v>247</v>
      </c>
      <c r="E15" s="20" t="s">
        <v>19</v>
      </c>
      <c r="F15" s="24">
        <f>(2.1*2+0.8)*F14</f>
        <v>15</v>
      </c>
      <c r="G15" s="25">
        <v>12.95</v>
      </c>
      <c r="H15" s="26">
        <f t="shared" si="0"/>
        <v>194.25</v>
      </c>
    </row>
    <row r="16" spans="1:11" x14ac:dyDescent="0.25">
      <c r="A16" s="8"/>
      <c r="B16" s="19" t="s">
        <v>242</v>
      </c>
      <c r="C16" s="20" t="s">
        <v>249</v>
      </c>
      <c r="D16" s="23" t="s">
        <v>250</v>
      </c>
      <c r="E16" s="20" t="s">
        <v>12</v>
      </c>
      <c r="F16" s="24">
        <f>2*1.2*6</f>
        <v>14.399999999999999</v>
      </c>
      <c r="G16" s="25">
        <v>43.16</v>
      </c>
      <c r="H16" s="26">
        <f t="shared" si="0"/>
        <v>621.50399999999991</v>
      </c>
    </row>
    <row r="17" spans="1:9" x14ac:dyDescent="0.25">
      <c r="A17" s="8"/>
      <c r="B17" s="19" t="s">
        <v>245</v>
      </c>
      <c r="C17" s="20" t="s">
        <v>147</v>
      </c>
      <c r="D17" s="23" t="s">
        <v>148</v>
      </c>
      <c r="E17" s="20" t="s">
        <v>12</v>
      </c>
      <c r="F17" s="24">
        <f>((1.4+1.4+2.95+2.95)*3)+(1.4*2.95)+(3.5*4.1)+(3.75*1)+76.8+(((4.35*5)+2.3+2.3+2.7)*3)</f>
        <v>212.28</v>
      </c>
      <c r="G17" s="25">
        <v>11.68</v>
      </c>
      <c r="H17" s="26">
        <f t="shared" si="0"/>
        <v>2479.4303999999997</v>
      </c>
    </row>
    <row r="18" spans="1:9" ht="45" x14ac:dyDescent="0.25">
      <c r="A18" s="8"/>
      <c r="B18" s="19" t="s">
        <v>248</v>
      </c>
      <c r="C18" s="20" t="s">
        <v>110</v>
      </c>
      <c r="D18" s="23" t="s">
        <v>380</v>
      </c>
      <c r="E18" s="20" t="s">
        <v>20</v>
      </c>
      <c r="F18" s="24">
        <f>F13+((F17+F16)*0.05)</f>
        <v>25.823999999999998</v>
      </c>
      <c r="G18" s="26">
        <v>94.33</v>
      </c>
      <c r="H18" s="26">
        <f t="shared" si="0"/>
        <v>2435.9779199999998</v>
      </c>
    </row>
    <row r="19" spans="1:9" ht="30" x14ac:dyDescent="0.25">
      <c r="A19" s="8"/>
      <c r="B19" s="19" t="s">
        <v>251</v>
      </c>
      <c r="C19" s="19" t="s">
        <v>149</v>
      </c>
      <c r="D19" s="23" t="s">
        <v>150</v>
      </c>
      <c r="E19" s="19" t="s">
        <v>12</v>
      </c>
      <c r="F19" s="21">
        <f>(2.4*1.8)+(2*1.8)-(0.7*1.8*2)</f>
        <v>5.4</v>
      </c>
      <c r="G19" s="27">
        <v>18.95</v>
      </c>
      <c r="H19" s="22">
        <f t="shared" si="0"/>
        <v>102.33</v>
      </c>
    </row>
    <row r="20" spans="1:9" x14ac:dyDescent="0.25">
      <c r="A20" s="8"/>
      <c r="B20" s="18" t="s">
        <v>151</v>
      </c>
      <c r="C20" s="87" t="s">
        <v>257</v>
      </c>
      <c r="D20" s="88"/>
      <c r="E20" s="88"/>
      <c r="F20" s="88"/>
      <c r="G20" s="88"/>
      <c r="H20" s="89"/>
    </row>
    <row r="21" spans="1:9" ht="30" x14ac:dyDescent="0.25">
      <c r="A21" s="8"/>
      <c r="B21" s="19" t="s">
        <v>252</v>
      </c>
      <c r="C21" s="20" t="s">
        <v>259</v>
      </c>
      <c r="D21" s="23" t="s">
        <v>260</v>
      </c>
      <c r="E21" s="20" t="s">
        <v>20</v>
      </c>
      <c r="F21" s="24">
        <f>(10*1)/2*20</f>
        <v>100</v>
      </c>
      <c r="G21" s="26">
        <v>17.75</v>
      </c>
      <c r="H21" s="26">
        <f t="shared" ref="H21" si="1">G21*F21</f>
        <v>1775</v>
      </c>
    </row>
    <row r="22" spans="1:9" x14ac:dyDescent="0.25">
      <c r="A22" s="8"/>
      <c r="B22" s="19" t="s">
        <v>253</v>
      </c>
      <c r="C22" s="20" t="s">
        <v>261</v>
      </c>
      <c r="D22" s="23" t="s">
        <v>262</v>
      </c>
      <c r="E22" s="20" t="s">
        <v>20</v>
      </c>
      <c r="F22" s="24">
        <f>F21</f>
        <v>100</v>
      </c>
      <c r="G22" s="26">
        <v>15.81</v>
      </c>
      <c r="H22" s="26">
        <f t="shared" ref="H22" si="2">G22*F22</f>
        <v>1581</v>
      </c>
    </row>
    <row r="23" spans="1:9" x14ac:dyDescent="0.25">
      <c r="A23" s="8"/>
      <c r="B23" s="19" t="s">
        <v>253</v>
      </c>
      <c r="C23" s="20" t="s">
        <v>254</v>
      </c>
      <c r="D23" s="23" t="s">
        <v>255</v>
      </c>
      <c r="E23" s="20" t="s">
        <v>12</v>
      </c>
      <c r="F23" s="24">
        <f>84.6+446</f>
        <v>530.6</v>
      </c>
      <c r="G23" s="26">
        <v>16.36</v>
      </c>
      <c r="H23" s="26">
        <f>G23*F23</f>
        <v>8680.616</v>
      </c>
    </row>
    <row r="24" spans="1:9" x14ac:dyDescent="0.25">
      <c r="A24" s="8"/>
      <c r="B24" s="18" t="s">
        <v>152</v>
      </c>
      <c r="C24" s="80" t="s">
        <v>114</v>
      </c>
      <c r="D24" s="81"/>
      <c r="E24" s="81"/>
      <c r="F24" s="81"/>
      <c r="G24" s="82"/>
      <c r="H24" s="15">
        <f>SUM(H10:H23)</f>
        <v>30682.959520000004</v>
      </c>
      <c r="I24" s="6">
        <f>(H24*$F$161)+H24</f>
        <v>37433.210614400006</v>
      </c>
    </row>
    <row r="25" spans="1:9" s="41" customFormat="1" x14ac:dyDescent="0.25">
      <c r="B25" s="42">
        <v>2</v>
      </c>
      <c r="C25" s="77" t="s">
        <v>199</v>
      </c>
      <c r="D25" s="78"/>
      <c r="E25" s="78"/>
      <c r="F25" s="78"/>
      <c r="G25" s="78"/>
      <c r="H25" s="79"/>
      <c r="I25" s="39"/>
    </row>
    <row r="26" spans="1:9" s="2" customFormat="1" ht="30" x14ac:dyDescent="0.25">
      <c r="B26" s="19" t="s">
        <v>302</v>
      </c>
      <c r="C26" s="20" t="s">
        <v>201</v>
      </c>
      <c r="D26" s="23" t="s">
        <v>202</v>
      </c>
      <c r="E26" s="20" t="s">
        <v>20</v>
      </c>
      <c r="F26" s="24">
        <f>(55*0.2*0.4)+(0.8*0.8*0.4*15)+(79*0.2*0.4)+(1.5*0.6*0.6*12)</f>
        <v>21.04</v>
      </c>
      <c r="G26" s="26">
        <v>58.41</v>
      </c>
      <c r="H26" s="26">
        <f t="shared" ref="H26:H35" si="3">G26*F26</f>
        <v>1228.9463999999998</v>
      </c>
      <c r="I26"/>
    </row>
    <row r="27" spans="1:9" s="2" customFormat="1" x14ac:dyDescent="0.25">
      <c r="B27" s="19" t="s">
        <v>303</v>
      </c>
      <c r="C27" s="20" t="s">
        <v>203</v>
      </c>
      <c r="D27" s="23" t="s">
        <v>263</v>
      </c>
      <c r="E27" s="20" t="s">
        <v>19</v>
      </c>
      <c r="F27" s="24">
        <f>(20*2)+(12*2*5)</f>
        <v>160</v>
      </c>
      <c r="G27" s="26">
        <v>75.39</v>
      </c>
      <c r="H27" s="26">
        <f t="shared" si="3"/>
        <v>12062.4</v>
      </c>
      <c r="I27"/>
    </row>
    <row r="28" spans="1:9" s="2" customFormat="1" x14ac:dyDescent="0.25">
      <c r="B28" s="19" t="s">
        <v>304</v>
      </c>
      <c r="C28" s="20" t="s">
        <v>204</v>
      </c>
      <c r="D28" s="23" t="s">
        <v>205</v>
      </c>
      <c r="E28" s="20" t="s">
        <v>20</v>
      </c>
      <c r="F28" s="24">
        <f>(55*0.2*0.04)+(0.8*0.8*0.04*15)+(79*0.2*0.04)+(1.5*0.6*0.04*12)</f>
        <v>1.8879999999999999</v>
      </c>
      <c r="G28" s="26">
        <v>171.37</v>
      </c>
      <c r="H28" s="26">
        <f t="shared" si="3"/>
        <v>323.54656</v>
      </c>
      <c r="I28"/>
    </row>
    <row r="29" spans="1:9" s="2" customFormat="1" ht="30" x14ac:dyDescent="0.25">
      <c r="B29" s="19" t="s">
        <v>305</v>
      </c>
      <c r="C29" s="20" t="s">
        <v>206</v>
      </c>
      <c r="D29" s="23" t="s">
        <v>207</v>
      </c>
      <c r="E29" s="20" t="s">
        <v>20</v>
      </c>
      <c r="F29" s="24">
        <f>F26</f>
        <v>21.04</v>
      </c>
      <c r="G29" s="26">
        <v>506.76</v>
      </c>
      <c r="H29" s="26">
        <f t="shared" si="3"/>
        <v>10662.230399999999</v>
      </c>
      <c r="I29"/>
    </row>
    <row r="30" spans="1:9" s="2" customFormat="1" x14ac:dyDescent="0.25">
      <c r="B30" s="19" t="s">
        <v>306</v>
      </c>
      <c r="C30" s="20" t="s">
        <v>208</v>
      </c>
      <c r="D30" s="23" t="s">
        <v>209</v>
      </c>
      <c r="E30" s="20" t="s">
        <v>23</v>
      </c>
      <c r="F30" s="24">
        <f>F26*35</f>
        <v>736.4</v>
      </c>
      <c r="G30" s="26">
        <v>11.46</v>
      </c>
      <c r="H30" s="26">
        <f t="shared" si="3"/>
        <v>8439.1440000000002</v>
      </c>
      <c r="I30"/>
    </row>
    <row r="31" spans="1:9" s="2" customFormat="1" x14ac:dyDescent="0.25">
      <c r="B31" s="19" t="s">
        <v>307</v>
      </c>
      <c r="C31" s="20" t="s">
        <v>210</v>
      </c>
      <c r="D31" s="23" t="s">
        <v>211</v>
      </c>
      <c r="E31" s="20" t="s">
        <v>23</v>
      </c>
      <c r="F31" s="24">
        <f>F26*15</f>
        <v>315.59999999999997</v>
      </c>
      <c r="G31" s="26">
        <v>12.82</v>
      </c>
      <c r="H31" s="26">
        <f t="shared" si="3"/>
        <v>4045.9919999999997</v>
      </c>
      <c r="I31"/>
    </row>
    <row r="32" spans="1:9" s="2" customFormat="1" ht="30" x14ac:dyDescent="0.25">
      <c r="B32" s="19" t="s">
        <v>308</v>
      </c>
      <c r="C32" s="20" t="s">
        <v>212</v>
      </c>
      <c r="D32" s="23" t="s">
        <v>213</v>
      </c>
      <c r="E32" s="20" t="s">
        <v>20</v>
      </c>
      <c r="F32" s="24">
        <f>F29</f>
        <v>21.04</v>
      </c>
      <c r="G32" s="26">
        <v>164.2</v>
      </c>
      <c r="H32" s="26">
        <f t="shared" si="3"/>
        <v>3454.7679999999996</v>
      </c>
      <c r="I32"/>
    </row>
    <row r="33" spans="1:10" s="2" customFormat="1" x14ac:dyDescent="0.25">
      <c r="B33" s="19" t="s">
        <v>309</v>
      </c>
      <c r="C33" s="20" t="s">
        <v>214</v>
      </c>
      <c r="D33" s="23" t="s">
        <v>215</v>
      </c>
      <c r="E33" s="20" t="s">
        <v>12</v>
      </c>
      <c r="F33" s="24">
        <f>((55*2*0.4)+(0.8*4*0.4*15)+(79*2*0.4)+((1.5*2)+(0.6*2)*0.4*12))/2</f>
        <v>67.58</v>
      </c>
      <c r="G33" s="26">
        <v>98.55</v>
      </c>
      <c r="H33" s="26">
        <f t="shared" si="3"/>
        <v>6660.009</v>
      </c>
      <c r="I33"/>
    </row>
    <row r="34" spans="1:10" s="2" customFormat="1" x14ac:dyDescent="0.25">
      <c r="B34" s="19" t="s">
        <v>310</v>
      </c>
      <c r="C34" s="19" t="s">
        <v>290</v>
      </c>
      <c r="D34" s="23" t="s">
        <v>291</v>
      </c>
      <c r="E34" s="19" t="s">
        <v>20</v>
      </c>
      <c r="F34" s="21">
        <f>(55*0.2*0.25)+(33*0.2*0.25)</f>
        <v>4.4000000000000004</v>
      </c>
      <c r="G34" s="22">
        <v>887.92</v>
      </c>
      <c r="H34" s="22">
        <f>G34*F34</f>
        <v>3906.848</v>
      </c>
      <c r="I34"/>
    </row>
    <row r="35" spans="1:10" s="2" customFormat="1" ht="30" x14ac:dyDescent="0.25">
      <c r="B35" s="19" t="s">
        <v>311</v>
      </c>
      <c r="C35" s="20" t="s">
        <v>216</v>
      </c>
      <c r="D35" s="23" t="s">
        <v>217</v>
      </c>
      <c r="E35" s="20" t="s">
        <v>12</v>
      </c>
      <c r="F35" s="24">
        <f>((55*2*0.4)+(0.8*4*0.4*15)+(79*2*0.4)+((1.5*2)+(0.6*2)*0.4*12))</f>
        <v>135.16</v>
      </c>
      <c r="G35" s="26">
        <v>19.09</v>
      </c>
      <c r="H35" s="26">
        <f t="shared" si="3"/>
        <v>2580.2044000000001</v>
      </c>
      <c r="I35"/>
    </row>
    <row r="36" spans="1:10" s="2" customFormat="1" x14ac:dyDescent="0.25">
      <c r="B36" s="19" t="s">
        <v>312</v>
      </c>
      <c r="C36" s="80" t="s">
        <v>114</v>
      </c>
      <c r="D36" s="81"/>
      <c r="E36" s="81"/>
      <c r="F36" s="81"/>
      <c r="G36" s="82"/>
      <c r="H36" s="15">
        <f>SUM(H26:H35)</f>
        <v>53364.088759999991</v>
      </c>
      <c r="I36" s="6">
        <f>(H36*$F$161)+H36</f>
        <v>65104.188287199991</v>
      </c>
    </row>
    <row r="37" spans="1:10" s="41" customFormat="1" x14ac:dyDescent="0.25">
      <c r="B37" s="42">
        <v>3</v>
      </c>
      <c r="C37" s="77" t="s">
        <v>200</v>
      </c>
      <c r="D37" s="78"/>
      <c r="E37" s="78"/>
      <c r="F37" s="78"/>
      <c r="G37" s="78"/>
      <c r="H37" s="79"/>
      <c r="I37" s="39"/>
    </row>
    <row r="38" spans="1:10" s="2" customFormat="1" x14ac:dyDescent="0.25">
      <c r="B38" s="19" t="s">
        <v>153</v>
      </c>
      <c r="C38" s="20" t="s">
        <v>206</v>
      </c>
      <c r="D38" s="23" t="s">
        <v>225</v>
      </c>
      <c r="E38" s="20" t="s">
        <v>20</v>
      </c>
      <c r="F38" s="24">
        <f>(0.2*0.2*3*15)+(0.3*0.2*55)</f>
        <v>5.0999999999999996</v>
      </c>
      <c r="G38" s="26">
        <v>506.76</v>
      </c>
      <c r="H38" s="26">
        <f>G38*F38</f>
        <v>2584.4759999999997</v>
      </c>
      <c r="I38" s="16"/>
    </row>
    <row r="39" spans="1:10" s="2" customFormat="1" ht="30" x14ac:dyDescent="0.25">
      <c r="B39" s="19" t="s">
        <v>154</v>
      </c>
      <c r="C39" s="20" t="s">
        <v>226</v>
      </c>
      <c r="D39" s="23" t="s">
        <v>227</v>
      </c>
      <c r="E39" s="20" t="s">
        <v>20</v>
      </c>
      <c r="F39" s="24">
        <f>F38</f>
        <v>5.0999999999999996</v>
      </c>
      <c r="G39" s="26">
        <v>113.42</v>
      </c>
      <c r="H39" s="26">
        <f t="shared" ref="H39:H43" si="4">G39*F39</f>
        <v>578.44200000000001</v>
      </c>
      <c r="I39" s="16"/>
    </row>
    <row r="40" spans="1:10" s="2" customFormat="1" x14ac:dyDescent="0.25">
      <c r="B40" s="19" t="s">
        <v>218</v>
      </c>
      <c r="C40" s="20" t="s">
        <v>208</v>
      </c>
      <c r="D40" s="23" t="s">
        <v>228</v>
      </c>
      <c r="E40" s="20" t="s">
        <v>23</v>
      </c>
      <c r="F40" s="24">
        <f>F38*50</f>
        <v>254.99999999999997</v>
      </c>
      <c r="G40" s="26">
        <v>11.46</v>
      </c>
      <c r="H40" s="26">
        <f t="shared" si="4"/>
        <v>2922.2999999999997</v>
      </c>
      <c r="I40" s="17"/>
    </row>
    <row r="41" spans="1:10" s="2" customFormat="1" x14ac:dyDescent="0.25">
      <c r="B41" s="19" t="s">
        <v>219</v>
      </c>
      <c r="C41" s="20" t="s">
        <v>210</v>
      </c>
      <c r="D41" s="23" t="s">
        <v>211</v>
      </c>
      <c r="E41" s="20" t="s">
        <v>23</v>
      </c>
      <c r="F41" s="24">
        <f>F38*20</f>
        <v>102</v>
      </c>
      <c r="G41" s="26">
        <v>12.82</v>
      </c>
      <c r="H41" s="26">
        <f t="shared" si="4"/>
        <v>1307.6400000000001</v>
      </c>
      <c r="I41" s="16"/>
    </row>
    <row r="42" spans="1:10" s="2" customFormat="1" ht="30" x14ac:dyDescent="0.25">
      <c r="B42" s="19" t="s">
        <v>220</v>
      </c>
      <c r="C42" s="20" t="s">
        <v>370</v>
      </c>
      <c r="D42" s="23" t="s">
        <v>381</v>
      </c>
      <c r="E42" s="20" t="s">
        <v>12</v>
      </c>
      <c r="F42" s="24">
        <v>84.6</v>
      </c>
      <c r="G42" s="26">
        <v>171.43</v>
      </c>
      <c r="H42" s="26">
        <f>G42*F42</f>
        <v>14502.977999999999</v>
      </c>
      <c r="I42" s="16"/>
    </row>
    <row r="43" spans="1:10" s="2" customFormat="1" x14ac:dyDescent="0.25">
      <c r="B43" s="19" t="s">
        <v>221</v>
      </c>
      <c r="C43" s="20" t="s">
        <v>229</v>
      </c>
      <c r="D43" s="23" t="s">
        <v>230</v>
      </c>
      <c r="E43" s="20" t="s">
        <v>12</v>
      </c>
      <c r="F43" s="24">
        <f>(((0.2+0.2)*3*15)+(0.3*55))/2</f>
        <v>17.25</v>
      </c>
      <c r="G43" s="26">
        <v>241.36</v>
      </c>
      <c r="H43" s="26">
        <f t="shared" si="4"/>
        <v>4163.46</v>
      </c>
      <c r="I43" s="16"/>
    </row>
    <row r="44" spans="1:10" s="2" customFormat="1" ht="30" x14ac:dyDescent="0.25">
      <c r="B44" s="19" t="s">
        <v>222</v>
      </c>
      <c r="C44" s="19" t="s">
        <v>157</v>
      </c>
      <c r="D44" s="23" t="s">
        <v>410</v>
      </c>
      <c r="E44" s="19" t="s">
        <v>23</v>
      </c>
      <c r="F44" s="21">
        <f>12*(446*0.2)</f>
        <v>1070.4000000000001</v>
      </c>
      <c r="G44" s="22">
        <v>24.01</v>
      </c>
      <c r="H44" s="22">
        <f>G44*F44</f>
        <v>25700.304000000004</v>
      </c>
      <c r="I44" s="16"/>
    </row>
    <row r="45" spans="1:10" s="2" customFormat="1" ht="30" x14ac:dyDescent="0.25">
      <c r="B45" s="19" t="s">
        <v>223</v>
      </c>
      <c r="C45" s="19" t="s">
        <v>169</v>
      </c>
      <c r="D45" s="23" t="s">
        <v>411</v>
      </c>
      <c r="E45" s="19" t="s">
        <v>23</v>
      </c>
      <c r="F45" s="21">
        <f>12*(446*0.2)</f>
        <v>1070.4000000000001</v>
      </c>
      <c r="G45" s="22">
        <v>3.75</v>
      </c>
      <c r="H45" s="22">
        <f t="shared" ref="H45" si="5">G45*F45</f>
        <v>4014.0000000000005</v>
      </c>
      <c r="I45" s="16"/>
    </row>
    <row r="46" spans="1:10" s="2" customFormat="1" x14ac:dyDescent="0.25">
      <c r="B46" s="19" t="s">
        <v>224</v>
      </c>
      <c r="C46" s="83" t="s">
        <v>114</v>
      </c>
      <c r="D46" s="83"/>
      <c r="E46" s="83"/>
      <c r="F46" s="83"/>
      <c r="G46" s="83"/>
      <c r="H46" s="15">
        <f>SUM(H38:H45)</f>
        <v>55773.600000000006</v>
      </c>
      <c r="I46" s="6">
        <f>(H46*$F$161)+H46</f>
        <v>68043.792000000001</v>
      </c>
    </row>
    <row r="47" spans="1:10" x14ac:dyDescent="0.25">
      <c r="A47" s="8"/>
      <c r="B47" s="18">
        <v>4</v>
      </c>
      <c r="C47" s="84" t="s">
        <v>111</v>
      </c>
      <c r="D47" s="85"/>
      <c r="E47" s="85"/>
      <c r="F47" s="85"/>
      <c r="G47" s="85"/>
      <c r="H47" s="86"/>
    </row>
    <row r="48" spans="1:10" x14ac:dyDescent="0.25">
      <c r="A48" s="14"/>
      <c r="B48" s="19" t="s">
        <v>24</v>
      </c>
      <c r="C48" s="19" t="s">
        <v>145</v>
      </c>
      <c r="D48" s="23" t="s">
        <v>146</v>
      </c>
      <c r="E48" s="19" t="s">
        <v>12</v>
      </c>
      <c r="F48" s="21">
        <f>(79*1.2)+(18*2.25)</f>
        <v>135.30000000000001</v>
      </c>
      <c r="G48" s="22">
        <v>115.02</v>
      </c>
      <c r="H48" s="22">
        <f>G48*F48</f>
        <v>15562.206</v>
      </c>
      <c r="J48" s="6"/>
    </row>
    <row r="49" spans="1:10" s="39" customFormat="1" ht="30" x14ac:dyDescent="0.25">
      <c r="B49" s="19" t="s">
        <v>113</v>
      </c>
      <c r="C49" s="20" t="s">
        <v>233</v>
      </c>
      <c r="D49" s="23" t="s">
        <v>234</v>
      </c>
      <c r="E49" s="20" t="s">
        <v>12</v>
      </c>
      <c r="F49" s="24">
        <f>(55*3)+(33*1)</f>
        <v>198</v>
      </c>
      <c r="G49" s="26">
        <v>92.26</v>
      </c>
      <c r="H49" s="26">
        <f>G49*F49</f>
        <v>18267.48</v>
      </c>
      <c r="J49" s="40"/>
    </row>
    <row r="50" spans="1:10" x14ac:dyDescent="0.25">
      <c r="A50" s="14"/>
      <c r="B50" s="19" t="s">
        <v>155</v>
      </c>
      <c r="C50" s="20" t="s">
        <v>231</v>
      </c>
      <c r="D50" s="23" t="s">
        <v>232</v>
      </c>
      <c r="E50" s="20" t="s">
        <v>20</v>
      </c>
      <c r="F50" s="24">
        <f>0.2*0.2*33</f>
        <v>1.3200000000000003</v>
      </c>
      <c r="G50" s="26">
        <v>1815.49</v>
      </c>
      <c r="H50" s="26">
        <f>G50*F50</f>
        <v>2396.4468000000006</v>
      </c>
      <c r="J50" s="6"/>
    </row>
    <row r="51" spans="1:10" x14ac:dyDescent="0.25">
      <c r="A51" s="14"/>
      <c r="B51" s="19" t="s">
        <v>156</v>
      </c>
      <c r="C51" s="67" t="s">
        <v>114</v>
      </c>
      <c r="D51" s="67"/>
      <c r="E51" s="67"/>
      <c r="F51" s="67"/>
      <c r="G51" s="67"/>
      <c r="H51" s="28">
        <f>SUM(H48:H50)</f>
        <v>36226.132799999999</v>
      </c>
      <c r="I51" s="6">
        <f>(H51*$F$161)+H51</f>
        <v>44195.882016000003</v>
      </c>
      <c r="J51" s="6"/>
    </row>
    <row r="52" spans="1:10" x14ac:dyDescent="0.25">
      <c r="A52" s="8"/>
      <c r="B52" s="18">
        <v>5</v>
      </c>
      <c r="C52" s="84" t="s">
        <v>25</v>
      </c>
      <c r="D52" s="85"/>
      <c r="E52" s="85"/>
      <c r="F52" s="85"/>
      <c r="G52" s="85"/>
      <c r="H52" s="86"/>
    </row>
    <row r="53" spans="1:10" x14ac:dyDescent="0.25">
      <c r="A53" s="8"/>
      <c r="B53" s="19" t="s">
        <v>174</v>
      </c>
      <c r="C53" s="19" t="s">
        <v>26</v>
      </c>
      <c r="D53" s="23" t="s">
        <v>268</v>
      </c>
      <c r="E53" s="19" t="s">
        <v>20</v>
      </c>
      <c r="F53" s="21">
        <f>(160*0.05)</f>
        <v>8</v>
      </c>
      <c r="G53" s="22">
        <v>701.89</v>
      </c>
      <c r="H53" s="22">
        <f>G53*F53</f>
        <v>5615.12</v>
      </c>
    </row>
    <row r="54" spans="1:10" x14ac:dyDescent="0.25">
      <c r="A54" s="8"/>
      <c r="B54" s="19" t="s">
        <v>175</v>
      </c>
      <c r="C54" s="19" t="s">
        <v>28</v>
      </c>
      <c r="D54" s="23" t="s">
        <v>27</v>
      </c>
      <c r="E54" s="19" t="s">
        <v>12</v>
      </c>
      <c r="F54" s="21">
        <f>((33+9.4+9.4+5+5+5+5+5)*3)+(33*4)+((79*1.2)*2)+(18*2.25)</f>
        <v>592.5</v>
      </c>
      <c r="G54" s="22">
        <v>6.93</v>
      </c>
      <c r="H54" s="22">
        <f t="shared" ref="H54:H55" si="6">G54*F54</f>
        <v>4106.0249999999996</v>
      </c>
    </row>
    <row r="55" spans="1:10" x14ac:dyDescent="0.25">
      <c r="A55" s="8"/>
      <c r="B55" s="19" t="s">
        <v>176</v>
      </c>
      <c r="C55" s="19" t="s">
        <v>29</v>
      </c>
      <c r="D55" s="23" t="s">
        <v>30</v>
      </c>
      <c r="E55" s="19" t="s">
        <v>12</v>
      </c>
      <c r="F55" s="21">
        <f>((33+9.4+9.4+5+5+5+5+5)*3)+(33*4)+((79*1.2)*2)+(18*2.25)</f>
        <v>592.5</v>
      </c>
      <c r="G55" s="22">
        <v>26.82</v>
      </c>
      <c r="H55" s="22">
        <f t="shared" si="6"/>
        <v>15890.85</v>
      </c>
    </row>
    <row r="56" spans="1:10" ht="30" x14ac:dyDescent="0.25">
      <c r="A56" s="8"/>
      <c r="B56" s="19" t="s">
        <v>177</v>
      </c>
      <c r="C56" s="20" t="s">
        <v>267</v>
      </c>
      <c r="D56" s="23" t="s">
        <v>382</v>
      </c>
      <c r="E56" s="20" t="s">
        <v>19</v>
      </c>
      <c r="F56" s="24">
        <f>(2*6)+(3*2)+(0.8*3)</f>
        <v>20.399999999999999</v>
      </c>
      <c r="G56" s="26">
        <v>155.55000000000001</v>
      </c>
      <c r="H56" s="26">
        <f>G56*F56</f>
        <v>3173.22</v>
      </c>
    </row>
    <row r="57" spans="1:10" ht="60" x14ac:dyDescent="0.25">
      <c r="A57" s="8"/>
      <c r="B57" s="19" t="s">
        <v>178</v>
      </c>
      <c r="C57" s="19" t="s">
        <v>394</v>
      </c>
      <c r="D57" s="30" t="s">
        <v>395</v>
      </c>
      <c r="E57" s="19" t="s">
        <v>12</v>
      </c>
      <c r="F57" s="21">
        <f>158+((5.7+2.75+6.85+2.75)*3)</f>
        <v>212.14999999999998</v>
      </c>
      <c r="G57" s="22">
        <v>158.16999999999999</v>
      </c>
      <c r="H57" s="22">
        <f t="shared" ref="H57:H61" si="7">G57*F57</f>
        <v>33555.765499999994</v>
      </c>
    </row>
    <row r="58" spans="1:10" x14ac:dyDescent="0.25">
      <c r="A58" s="8"/>
      <c r="B58" s="19" t="s">
        <v>179</v>
      </c>
      <c r="C58" s="19" t="s">
        <v>204</v>
      </c>
      <c r="D58" s="23" t="s">
        <v>205</v>
      </c>
      <c r="E58" s="19" t="s">
        <v>20</v>
      </c>
      <c r="F58" s="21">
        <f>F59*0.05</f>
        <v>15.450000000000001</v>
      </c>
      <c r="G58" s="22">
        <v>171.37</v>
      </c>
      <c r="H58" s="22">
        <f t="shared" si="7"/>
        <v>2647.6665000000003</v>
      </c>
    </row>
    <row r="59" spans="1:10" x14ac:dyDescent="0.25">
      <c r="A59" s="8"/>
      <c r="B59" s="19" t="s">
        <v>179</v>
      </c>
      <c r="C59" s="19" t="s">
        <v>401</v>
      </c>
      <c r="D59" s="23" t="s">
        <v>402</v>
      </c>
      <c r="E59" s="19" t="s">
        <v>12</v>
      </c>
      <c r="F59" s="21">
        <v>309</v>
      </c>
      <c r="G59" s="22">
        <v>3.69</v>
      </c>
      <c r="H59" s="22">
        <f t="shared" ref="H59:H60" si="8">G59*F59</f>
        <v>1140.21</v>
      </c>
    </row>
    <row r="60" spans="1:10" x14ac:dyDescent="0.25">
      <c r="A60" s="8"/>
      <c r="B60" s="19" t="s">
        <v>180</v>
      </c>
      <c r="C60" s="19" t="s">
        <v>399</v>
      </c>
      <c r="D60" s="23" t="s">
        <v>400</v>
      </c>
      <c r="E60" s="19" t="s">
        <v>23</v>
      </c>
      <c r="F60" s="21">
        <v>743</v>
      </c>
      <c r="G60" s="22">
        <v>14.64</v>
      </c>
      <c r="H60" s="22">
        <f t="shared" si="8"/>
        <v>10877.52</v>
      </c>
    </row>
    <row r="61" spans="1:10" x14ac:dyDescent="0.25">
      <c r="A61" s="8"/>
      <c r="B61" s="19" t="s">
        <v>314</v>
      </c>
      <c r="C61" s="19" t="s">
        <v>371</v>
      </c>
      <c r="D61" s="23" t="s">
        <v>372</v>
      </c>
      <c r="E61" s="19" t="s">
        <v>20</v>
      </c>
      <c r="F61" s="21">
        <f>F59*0.07</f>
        <v>21.630000000000003</v>
      </c>
      <c r="G61" s="22">
        <v>456.42</v>
      </c>
      <c r="H61" s="22">
        <f t="shared" si="7"/>
        <v>9872.3646000000008</v>
      </c>
    </row>
    <row r="62" spans="1:10" ht="30" x14ac:dyDescent="0.25">
      <c r="A62" s="8"/>
      <c r="B62" s="19" t="s">
        <v>315</v>
      </c>
      <c r="C62" s="19" t="s">
        <v>274</v>
      </c>
      <c r="D62" s="23" t="s">
        <v>275</v>
      </c>
      <c r="E62" s="19" t="s">
        <v>20</v>
      </c>
      <c r="F62" s="21">
        <f>F61</f>
        <v>21.630000000000003</v>
      </c>
      <c r="G62" s="22">
        <v>110.85</v>
      </c>
      <c r="H62" s="22">
        <f t="shared" ref="H62" si="9">G62*F62</f>
        <v>2397.6855</v>
      </c>
    </row>
    <row r="63" spans="1:10" x14ac:dyDescent="0.25">
      <c r="A63" s="8"/>
      <c r="B63" s="19" t="s">
        <v>397</v>
      </c>
      <c r="C63" s="19" t="s">
        <v>277</v>
      </c>
      <c r="D63" s="23" t="s">
        <v>276</v>
      </c>
      <c r="E63" s="19" t="s">
        <v>12</v>
      </c>
      <c r="F63" s="21">
        <f>F59</f>
        <v>309</v>
      </c>
      <c r="G63" s="22">
        <v>15.17</v>
      </c>
      <c r="H63" s="22">
        <f>G63*F63</f>
        <v>4687.53</v>
      </c>
    </row>
    <row r="64" spans="1:10" x14ac:dyDescent="0.25">
      <c r="A64" s="8"/>
      <c r="B64" s="19" t="s">
        <v>398</v>
      </c>
      <c r="C64" s="67" t="s">
        <v>114</v>
      </c>
      <c r="D64" s="67"/>
      <c r="E64" s="67"/>
      <c r="F64" s="67"/>
      <c r="G64" s="67"/>
      <c r="H64" s="28">
        <f>SUM(H53:H63)</f>
        <v>93963.957100000014</v>
      </c>
      <c r="I64" s="6">
        <f>(H64*$F$161)+H64</f>
        <v>114636.02766200002</v>
      </c>
    </row>
    <row r="65" spans="1:10" s="39" customFormat="1" x14ac:dyDescent="0.25">
      <c r="A65" s="14"/>
      <c r="B65" s="42">
        <v>6</v>
      </c>
      <c r="C65" s="77" t="s">
        <v>112</v>
      </c>
      <c r="D65" s="78"/>
      <c r="E65" s="78"/>
      <c r="F65" s="78"/>
      <c r="G65" s="78"/>
      <c r="H65" s="79"/>
    </row>
    <row r="66" spans="1:10" ht="30" x14ac:dyDescent="0.25">
      <c r="A66" s="8"/>
      <c r="B66" s="19" t="s">
        <v>181</v>
      </c>
      <c r="C66" s="19" t="s">
        <v>157</v>
      </c>
      <c r="D66" s="23" t="s">
        <v>407</v>
      </c>
      <c r="E66" s="19" t="s">
        <v>23</v>
      </c>
      <c r="F66" s="21">
        <f>6*84.6</f>
        <v>507.59999999999997</v>
      </c>
      <c r="G66" s="22">
        <v>24.01</v>
      </c>
      <c r="H66" s="22">
        <f>G66*F66</f>
        <v>12187.476000000001</v>
      </c>
      <c r="J66" s="1"/>
    </row>
    <row r="67" spans="1:10" ht="30" x14ac:dyDescent="0.25">
      <c r="A67" s="8"/>
      <c r="B67" s="19" t="s">
        <v>182</v>
      </c>
      <c r="C67" s="19" t="s">
        <v>169</v>
      </c>
      <c r="D67" s="23" t="s">
        <v>408</v>
      </c>
      <c r="E67" s="19" t="s">
        <v>23</v>
      </c>
      <c r="F67" s="21">
        <f>6*84.6</f>
        <v>507.59999999999997</v>
      </c>
      <c r="G67" s="22">
        <v>3.75</v>
      </c>
      <c r="H67" s="22">
        <f t="shared" ref="H67" si="10">G67*F67</f>
        <v>1903.4999999999998</v>
      </c>
      <c r="J67" s="1"/>
    </row>
    <row r="68" spans="1:10" ht="45" x14ac:dyDescent="0.25">
      <c r="A68" s="8"/>
      <c r="B68" s="19" t="s">
        <v>183</v>
      </c>
      <c r="C68" s="19" t="s">
        <v>172</v>
      </c>
      <c r="D68" s="23" t="s">
        <v>409</v>
      </c>
      <c r="E68" s="19" t="s">
        <v>12</v>
      </c>
      <c r="F68" s="21">
        <f>84.6</f>
        <v>84.6</v>
      </c>
      <c r="G68" s="22">
        <v>168.87</v>
      </c>
      <c r="H68" s="22">
        <f t="shared" ref="H68" si="11">G68*F68</f>
        <v>14286.402</v>
      </c>
    </row>
    <row r="69" spans="1:10" ht="30" x14ac:dyDescent="0.25">
      <c r="A69" s="14"/>
      <c r="B69" s="19" t="s">
        <v>184</v>
      </c>
      <c r="C69" s="19" t="s">
        <v>157</v>
      </c>
      <c r="D69" s="23" t="s">
        <v>410</v>
      </c>
      <c r="E69" s="19" t="s">
        <v>23</v>
      </c>
      <c r="F69" s="21">
        <f>12*(446*0.7)</f>
        <v>3746.3999999999996</v>
      </c>
      <c r="G69" s="22">
        <v>24.01</v>
      </c>
      <c r="H69" s="22">
        <f>G69*F69</f>
        <v>89951.063999999998</v>
      </c>
    </row>
    <row r="70" spans="1:10" ht="30" x14ac:dyDescent="0.25">
      <c r="A70" s="14"/>
      <c r="B70" s="19" t="s">
        <v>185</v>
      </c>
      <c r="C70" s="19" t="s">
        <v>169</v>
      </c>
      <c r="D70" s="23" t="s">
        <v>411</v>
      </c>
      <c r="E70" s="19" t="s">
        <v>23</v>
      </c>
      <c r="F70" s="21">
        <f>12*(446*0.7)</f>
        <v>3746.3999999999996</v>
      </c>
      <c r="G70" s="22">
        <v>3.75</v>
      </c>
      <c r="H70" s="22">
        <f t="shared" ref="H70:H71" si="12">G70*F70</f>
        <v>14048.999999999998</v>
      </c>
    </row>
    <row r="71" spans="1:10" ht="45" x14ac:dyDescent="0.25">
      <c r="A71" s="14"/>
      <c r="B71" s="19" t="s">
        <v>186</v>
      </c>
      <c r="C71" s="19" t="s">
        <v>172</v>
      </c>
      <c r="D71" s="23" t="s">
        <v>412</v>
      </c>
      <c r="E71" s="19" t="s">
        <v>12</v>
      </c>
      <c r="F71" s="21">
        <v>446</v>
      </c>
      <c r="G71" s="22">
        <v>168.87</v>
      </c>
      <c r="H71" s="22">
        <f t="shared" si="12"/>
        <v>75316.02</v>
      </c>
    </row>
    <row r="72" spans="1:10" ht="30" x14ac:dyDescent="0.25">
      <c r="A72" s="14"/>
      <c r="B72" s="19" t="s">
        <v>317</v>
      </c>
      <c r="C72" s="19" t="s">
        <v>157</v>
      </c>
      <c r="D72" s="23" t="s">
        <v>368</v>
      </c>
      <c r="E72" s="19" t="s">
        <v>23</v>
      </c>
      <c r="F72" s="21">
        <f>(37+12+23+20)*6</f>
        <v>552</v>
      </c>
      <c r="G72" s="22">
        <v>24.01</v>
      </c>
      <c r="H72" s="22">
        <f>G72*F72</f>
        <v>13253.52</v>
      </c>
    </row>
    <row r="73" spans="1:10" ht="30" x14ac:dyDescent="0.25">
      <c r="A73" s="14"/>
      <c r="B73" s="19" t="s">
        <v>318</v>
      </c>
      <c r="C73" s="19" t="s">
        <v>169</v>
      </c>
      <c r="D73" s="23" t="s">
        <v>369</v>
      </c>
      <c r="E73" s="19" t="s">
        <v>23</v>
      </c>
      <c r="F73" s="21">
        <f>(36+24+12)*6</f>
        <v>432</v>
      </c>
      <c r="G73" s="22">
        <v>3.75</v>
      </c>
      <c r="H73" s="22">
        <f t="shared" ref="H73" si="13">G73*F73</f>
        <v>1620</v>
      </c>
    </row>
    <row r="74" spans="1:10" ht="45" x14ac:dyDescent="0.25">
      <c r="A74" s="14"/>
      <c r="B74" s="19" t="s">
        <v>319</v>
      </c>
      <c r="C74" s="19" t="s">
        <v>316</v>
      </c>
      <c r="D74" s="30" t="s">
        <v>373</v>
      </c>
      <c r="E74" s="19" t="s">
        <v>12</v>
      </c>
      <c r="F74" s="21">
        <v>144</v>
      </c>
      <c r="G74" s="22">
        <v>708.34</v>
      </c>
      <c r="H74" s="22">
        <f>G74*F74</f>
        <v>102000.96000000001</v>
      </c>
    </row>
    <row r="75" spans="1:10" x14ac:dyDescent="0.25">
      <c r="A75" s="8"/>
      <c r="B75" s="19" t="s">
        <v>320</v>
      </c>
      <c r="C75" s="67" t="s">
        <v>114</v>
      </c>
      <c r="D75" s="67"/>
      <c r="E75" s="67"/>
      <c r="F75" s="67"/>
      <c r="G75" s="67"/>
      <c r="H75" s="28">
        <f>SUM(H66:H74)</f>
        <v>324567.94199999998</v>
      </c>
      <c r="I75" s="6">
        <f>(H75*$F$161)+H75</f>
        <v>395972.88923999999</v>
      </c>
    </row>
    <row r="76" spans="1:10" x14ac:dyDescent="0.25">
      <c r="A76" s="8"/>
      <c r="B76" s="18">
        <v>7</v>
      </c>
      <c r="C76" s="69" t="s">
        <v>105</v>
      </c>
      <c r="D76" s="70"/>
      <c r="E76" s="70"/>
      <c r="F76" s="70"/>
      <c r="G76" s="70"/>
      <c r="H76" s="71"/>
    </row>
    <row r="77" spans="1:10" ht="45" x14ac:dyDescent="0.25">
      <c r="A77" s="8"/>
      <c r="B77" s="19" t="s">
        <v>140</v>
      </c>
      <c r="C77" s="20" t="s">
        <v>280</v>
      </c>
      <c r="D77" s="23" t="s">
        <v>383</v>
      </c>
      <c r="E77" s="20" t="s">
        <v>22</v>
      </c>
      <c r="F77" s="24">
        <v>4</v>
      </c>
      <c r="G77" s="26">
        <v>535</v>
      </c>
      <c r="H77" s="26">
        <f>G77*F77</f>
        <v>2140</v>
      </c>
    </row>
    <row r="78" spans="1:10" ht="30" x14ac:dyDescent="0.25">
      <c r="A78" s="8"/>
      <c r="B78" s="19" t="s">
        <v>32</v>
      </c>
      <c r="C78" s="20" t="s">
        <v>264</v>
      </c>
      <c r="D78" s="23" t="s">
        <v>384</v>
      </c>
      <c r="E78" s="20" t="s">
        <v>12</v>
      </c>
      <c r="F78" s="24">
        <f>(0.7*1.8*4)+(2.1*0.8)</f>
        <v>6.7200000000000006</v>
      </c>
      <c r="G78" s="26">
        <v>1176.9100000000001</v>
      </c>
      <c r="H78" s="26">
        <f>G78*F78</f>
        <v>7908.8352000000014</v>
      </c>
    </row>
    <row r="79" spans="1:10" ht="30" x14ac:dyDescent="0.25">
      <c r="A79" s="8"/>
      <c r="B79" s="19" t="s">
        <v>33</v>
      </c>
      <c r="C79" s="20" t="s">
        <v>40</v>
      </c>
      <c r="D79" s="23" t="s">
        <v>41</v>
      </c>
      <c r="E79" s="20" t="s">
        <v>42</v>
      </c>
      <c r="F79" s="24">
        <v>4</v>
      </c>
      <c r="G79" s="26">
        <v>324.16000000000003</v>
      </c>
      <c r="H79" s="26">
        <f t="shared" ref="H79:H81" si="14">G79*F79</f>
        <v>1296.6400000000001</v>
      </c>
    </row>
    <row r="80" spans="1:10" ht="30" x14ac:dyDescent="0.25">
      <c r="A80" s="8"/>
      <c r="B80" s="19" t="s">
        <v>167</v>
      </c>
      <c r="C80" s="20" t="s">
        <v>43</v>
      </c>
      <c r="D80" s="23" t="s">
        <v>44</v>
      </c>
      <c r="E80" s="20" t="s">
        <v>42</v>
      </c>
      <c r="F80" s="24">
        <v>5</v>
      </c>
      <c r="G80" s="26">
        <v>235.51</v>
      </c>
      <c r="H80" s="26">
        <f t="shared" si="14"/>
        <v>1177.55</v>
      </c>
      <c r="J80" s="6"/>
    </row>
    <row r="81" spans="1:10" x14ac:dyDescent="0.25">
      <c r="A81" s="8"/>
      <c r="B81" s="19" t="s">
        <v>321</v>
      </c>
      <c r="C81" s="20" t="s">
        <v>265</v>
      </c>
      <c r="D81" s="23" t="s">
        <v>266</v>
      </c>
      <c r="E81" s="20" t="s">
        <v>12</v>
      </c>
      <c r="F81" s="24">
        <f>(2*1.2*5)+(3*0.6*2)+(2*0.6)</f>
        <v>16.8</v>
      </c>
      <c r="G81" s="26">
        <v>455.9</v>
      </c>
      <c r="H81" s="26">
        <f t="shared" si="14"/>
        <v>7659.12</v>
      </c>
    </row>
    <row r="82" spans="1:10" x14ac:dyDescent="0.25">
      <c r="A82" s="8"/>
      <c r="B82" s="19" t="s">
        <v>322</v>
      </c>
      <c r="C82" s="67" t="s">
        <v>114</v>
      </c>
      <c r="D82" s="67"/>
      <c r="E82" s="67"/>
      <c r="F82" s="67"/>
      <c r="G82" s="67"/>
      <c r="H82" s="28">
        <f>SUM(H77:H81)</f>
        <v>20182.145199999999</v>
      </c>
      <c r="I82" s="6">
        <f>(H82*$F$161)+H82</f>
        <v>24622.217143999998</v>
      </c>
    </row>
    <row r="83" spans="1:10" x14ac:dyDescent="0.25">
      <c r="A83" s="8"/>
      <c r="B83" s="18">
        <v>8</v>
      </c>
      <c r="C83" s="73" t="s">
        <v>47</v>
      </c>
      <c r="D83" s="74"/>
      <c r="E83" s="74"/>
      <c r="F83" s="74"/>
      <c r="G83" s="74"/>
      <c r="H83" s="75"/>
    </row>
    <row r="84" spans="1:10" x14ac:dyDescent="0.25">
      <c r="A84" s="8"/>
      <c r="B84" s="18" t="s">
        <v>134</v>
      </c>
      <c r="C84" s="73" t="s">
        <v>48</v>
      </c>
      <c r="D84" s="74"/>
      <c r="E84" s="74"/>
      <c r="F84" s="74"/>
      <c r="G84" s="74"/>
      <c r="H84" s="75"/>
    </row>
    <row r="85" spans="1:10" ht="30" x14ac:dyDescent="0.25">
      <c r="A85" s="8"/>
      <c r="B85" s="19" t="s">
        <v>187</v>
      </c>
      <c r="C85" s="19" t="s">
        <v>49</v>
      </c>
      <c r="D85" s="23" t="s">
        <v>50</v>
      </c>
      <c r="E85" s="19" t="s">
        <v>19</v>
      </c>
      <c r="F85" s="21">
        <f>15+20</f>
        <v>35</v>
      </c>
      <c r="G85" s="22">
        <v>31.35</v>
      </c>
      <c r="H85" s="22">
        <f>G85*F85</f>
        <v>1097.25</v>
      </c>
    </row>
    <row r="86" spans="1:10" ht="30" x14ac:dyDescent="0.25">
      <c r="A86" s="8"/>
      <c r="B86" s="19" t="s">
        <v>188</v>
      </c>
      <c r="C86" s="19" t="s">
        <v>51</v>
      </c>
      <c r="D86" s="23" t="s">
        <v>52</v>
      </c>
      <c r="E86" s="19" t="s">
        <v>19</v>
      </c>
      <c r="F86" s="21">
        <v>15</v>
      </c>
      <c r="G86" s="22">
        <v>54.07</v>
      </c>
      <c r="H86" s="22">
        <f t="shared" ref="H86:H89" si="15">G86*F86</f>
        <v>811.05</v>
      </c>
    </row>
    <row r="87" spans="1:10" ht="30" x14ac:dyDescent="0.25">
      <c r="A87" s="8"/>
      <c r="B87" s="19" t="s">
        <v>323</v>
      </c>
      <c r="C87" s="19" t="s">
        <v>53</v>
      </c>
      <c r="D87" s="23" t="s">
        <v>54</v>
      </c>
      <c r="E87" s="19" t="s">
        <v>22</v>
      </c>
      <c r="F87" s="21">
        <v>3</v>
      </c>
      <c r="G87" s="22">
        <v>143.81</v>
      </c>
      <c r="H87" s="22">
        <f t="shared" si="15"/>
        <v>431.43</v>
      </c>
    </row>
    <row r="88" spans="1:10" x14ac:dyDescent="0.25">
      <c r="A88" s="8"/>
      <c r="B88" s="19" t="s">
        <v>324</v>
      </c>
      <c r="C88" s="19" t="s">
        <v>55</v>
      </c>
      <c r="D88" s="23" t="s">
        <v>56</v>
      </c>
      <c r="E88" s="19" t="s">
        <v>22</v>
      </c>
      <c r="F88" s="21">
        <v>4</v>
      </c>
      <c r="G88" s="22">
        <v>262.04000000000002</v>
      </c>
      <c r="H88" s="22">
        <f t="shared" si="15"/>
        <v>1048.1600000000001</v>
      </c>
    </row>
    <row r="89" spans="1:10" ht="30" x14ac:dyDescent="0.25">
      <c r="A89" s="8"/>
      <c r="B89" s="19" t="s">
        <v>325</v>
      </c>
      <c r="C89" s="19" t="s">
        <v>57</v>
      </c>
      <c r="D89" s="23" t="s">
        <v>58</v>
      </c>
      <c r="E89" s="19" t="s">
        <v>22</v>
      </c>
      <c r="F89" s="21">
        <v>3</v>
      </c>
      <c r="G89" s="22">
        <v>75.459999999999994</v>
      </c>
      <c r="H89" s="22">
        <f t="shared" si="15"/>
        <v>226.38</v>
      </c>
    </row>
    <row r="90" spans="1:10" s="39" customFormat="1" ht="30" x14ac:dyDescent="0.25">
      <c r="A90" s="14"/>
      <c r="B90" s="19" t="s">
        <v>326</v>
      </c>
      <c r="C90" s="20" t="s">
        <v>278</v>
      </c>
      <c r="D90" s="23" t="s">
        <v>313</v>
      </c>
      <c r="E90" s="20" t="s">
        <v>22</v>
      </c>
      <c r="F90" s="24">
        <v>4</v>
      </c>
      <c r="G90" s="26">
        <v>989.4</v>
      </c>
      <c r="H90" s="26">
        <f>G90*F90</f>
        <v>3957.6</v>
      </c>
    </row>
    <row r="91" spans="1:10" x14ac:dyDescent="0.25">
      <c r="A91" s="8"/>
      <c r="B91" s="18" t="s">
        <v>34</v>
      </c>
      <c r="C91" s="69" t="s">
        <v>59</v>
      </c>
      <c r="D91" s="70"/>
      <c r="E91" s="70"/>
      <c r="F91" s="70"/>
      <c r="G91" s="70"/>
      <c r="H91" s="71"/>
      <c r="J91" s="6"/>
    </row>
    <row r="92" spans="1:10" ht="30" x14ac:dyDescent="0.25">
      <c r="A92" s="8"/>
      <c r="B92" s="19" t="s">
        <v>189</v>
      </c>
      <c r="C92" s="19" t="s">
        <v>141</v>
      </c>
      <c r="D92" s="23" t="s">
        <v>385</v>
      </c>
      <c r="E92" s="19" t="s">
        <v>19</v>
      </c>
      <c r="F92" s="21">
        <v>10</v>
      </c>
      <c r="G92" s="22">
        <v>46.74</v>
      </c>
      <c r="H92" s="22">
        <f>G92*F92</f>
        <v>467.40000000000003</v>
      </c>
    </row>
    <row r="93" spans="1:10" ht="30" x14ac:dyDescent="0.25">
      <c r="A93" s="8"/>
      <c r="B93" s="19" t="s">
        <v>190</v>
      </c>
      <c r="C93" s="19" t="s">
        <v>142</v>
      </c>
      <c r="D93" s="23" t="s">
        <v>386</v>
      </c>
      <c r="E93" s="19" t="s">
        <v>19</v>
      </c>
      <c r="F93" s="21">
        <v>45</v>
      </c>
      <c r="G93" s="22">
        <v>79.34</v>
      </c>
      <c r="H93" s="22">
        <f t="shared" ref="H93:H95" si="16">G93*F93</f>
        <v>3570.3</v>
      </c>
    </row>
    <row r="94" spans="1:10" x14ac:dyDescent="0.25">
      <c r="A94" s="8"/>
      <c r="B94" s="19" t="s">
        <v>191</v>
      </c>
      <c r="C94" s="19" t="s">
        <v>170</v>
      </c>
      <c r="D94" s="23" t="s">
        <v>171</v>
      </c>
      <c r="E94" s="19" t="s">
        <v>22</v>
      </c>
      <c r="F94" s="21">
        <v>4</v>
      </c>
      <c r="G94" s="22">
        <v>122.17</v>
      </c>
      <c r="H94" s="22">
        <f t="shared" si="16"/>
        <v>488.68</v>
      </c>
    </row>
    <row r="95" spans="1:10" s="39" customFormat="1" x14ac:dyDescent="0.25">
      <c r="A95" s="14"/>
      <c r="B95" s="19" t="s">
        <v>192</v>
      </c>
      <c r="C95" s="20" t="s">
        <v>36</v>
      </c>
      <c r="D95" s="23" t="s">
        <v>37</v>
      </c>
      <c r="E95" s="20" t="s">
        <v>22</v>
      </c>
      <c r="F95" s="24">
        <v>3</v>
      </c>
      <c r="G95" s="26">
        <v>318.2</v>
      </c>
      <c r="H95" s="26">
        <f t="shared" si="16"/>
        <v>954.59999999999991</v>
      </c>
    </row>
    <row r="96" spans="1:10" x14ac:dyDescent="0.25">
      <c r="A96" s="8"/>
      <c r="B96" s="18" t="s">
        <v>35</v>
      </c>
      <c r="C96" s="69" t="s">
        <v>31</v>
      </c>
      <c r="D96" s="70"/>
      <c r="E96" s="70"/>
      <c r="F96" s="70"/>
      <c r="G96" s="70"/>
      <c r="H96" s="71"/>
    </row>
    <row r="97" spans="1:9" x14ac:dyDescent="0.25">
      <c r="A97" s="8"/>
      <c r="B97" s="19" t="s">
        <v>193</v>
      </c>
      <c r="C97" s="19" t="s">
        <v>404</v>
      </c>
      <c r="D97" s="23" t="s">
        <v>405</v>
      </c>
      <c r="E97" s="19" t="s">
        <v>19</v>
      </c>
      <c r="F97" s="21">
        <f>20+20.3+20.3</f>
        <v>60.599999999999994</v>
      </c>
      <c r="G97" s="22">
        <v>238.61</v>
      </c>
      <c r="H97" s="22">
        <f>G97*F97</f>
        <v>14459.766</v>
      </c>
    </row>
    <row r="98" spans="1:9" ht="30" x14ac:dyDescent="0.25">
      <c r="A98" s="8"/>
      <c r="B98" s="19" t="s">
        <v>194</v>
      </c>
      <c r="C98" s="19" t="s">
        <v>142</v>
      </c>
      <c r="D98" s="23" t="s">
        <v>386</v>
      </c>
      <c r="E98" s="19" t="s">
        <v>19</v>
      </c>
      <c r="F98" s="21">
        <f>50+(12*6)</f>
        <v>122</v>
      </c>
      <c r="G98" s="22">
        <v>79.34</v>
      </c>
      <c r="H98" s="22">
        <f t="shared" ref="H98" si="17">G98*F98</f>
        <v>9679.48</v>
      </c>
    </row>
    <row r="99" spans="1:9" ht="30" x14ac:dyDescent="0.25">
      <c r="A99" s="8"/>
      <c r="B99" s="19" t="s">
        <v>195</v>
      </c>
      <c r="C99" s="19" t="s">
        <v>269</v>
      </c>
      <c r="D99" s="23" t="s">
        <v>387</v>
      </c>
      <c r="E99" s="19" t="s">
        <v>19</v>
      </c>
      <c r="F99" s="21">
        <f>(21*2)+20</f>
        <v>62</v>
      </c>
      <c r="G99" s="22">
        <v>158.57</v>
      </c>
      <c r="H99" s="22">
        <f t="shared" ref="H99" si="18">G99*F99</f>
        <v>9831.34</v>
      </c>
    </row>
    <row r="100" spans="1:9" x14ac:dyDescent="0.25">
      <c r="A100" s="8"/>
      <c r="B100" s="19" t="s">
        <v>196</v>
      </c>
      <c r="C100" s="19" t="s">
        <v>36</v>
      </c>
      <c r="D100" s="23" t="s">
        <v>37</v>
      </c>
      <c r="E100" s="19" t="s">
        <v>22</v>
      </c>
      <c r="F100" s="21">
        <v>10</v>
      </c>
      <c r="G100" s="22">
        <v>318.2</v>
      </c>
      <c r="H100" s="22">
        <f>G100*F100</f>
        <v>3182</v>
      </c>
    </row>
    <row r="101" spans="1:9" x14ac:dyDescent="0.25">
      <c r="A101" s="8"/>
      <c r="B101" s="18" t="s">
        <v>327</v>
      </c>
      <c r="C101" s="67" t="s">
        <v>114</v>
      </c>
      <c r="D101" s="67"/>
      <c r="E101" s="67"/>
      <c r="F101" s="67"/>
      <c r="G101" s="67"/>
      <c r="H101" s="28">
        <f>SUM(H85:H100)</f>
        <v>50205.436000000002</v>
      </c>
      <c r="I101" s="6">
        <f>(H101*$F$161)+H101</f>
        <v>61250.63192</v>
      </c>
    </row>
    <row r="102" spans="1:9" x14ac:dyDescent="0.25">
      <c r="A102" s="8"/>
      <c r="B102" s="18">
        <v>9</v>
      </c>
      <c r="C102" s="73" t="s">
        <v>75</v>
      </c>
      <c r="D102" s="74"/>
      <c r="E102" s="74"/>
      <c r="F102" s="74"/>
      <c r="G102" s="74"/>
      <c r="H102" s="75"/>
    </row>
    <row r="103" spans="1:9" x14ac:dyDescent="0.25">
      <c r="A103" s="8"/>
      <c r="B103" s="18" t="s">
        <v>38</v>
      </c>
      <c r="C103" s="73" t="s">
        <v>76</v>
      </c>
      <c r="D103" s="74"/>
      <c r="E103" s="74"/>
      <c r="F103" s="74"/>
      <c r="G103" s="74"/>
      <c r="H103" s="75"/>
    </row>
    <row r="104" spans="1:9" ht="30" x14ac:dyDescent="0.25">
      <c r="A104" s="8"/>
      <c r="B104" s="19" t="s">
        <v>328</v>
      </c>
      <c r="C104" s="19" t="s">
        <v>281</v>
      </c>
      <c r="D104" s="30" t="s">
        <v>282</v>
      </c>
      <c r="E104" s="19" t="s">
        <v>19</v>
      </c>
      <c r="F104" s="21">
        <v>30</v>
      </c>
      <c r="G104" s="22">
        <v>12.72</v>
      </c>
      <c r="H104" s="22">
        <f>G104*F104</f>
        <v>381.6</v>
      </c>
    </row>
    <row r="105" spans="1:9" x14ac:dyDescent="0.25">
      <c r="A105" s="8"/>
      <c r="B105" s="18" t="s">
        <v>39</v>
      </c>
      <c r="C105" s="69" t="s">
        <v>78</v>
      </c>
      <c r="D105" s="70"/>
      <c r="E105" s="70"/>
      <c r="F105" s="70"/>
      <c r="G105" s="70"/>
      <c r="H105" s="71"/>
    </row>
    <row r="106" spans="1:9" ht="30" x14ac:dyDescent="0.25">
      <c r="A106" s="8"/>
      <c r="B106" s="19" t="s">
        <v>329</v>
      </c>
      <c r="C106" s="19" t="s">
        <v>79</v>
      </c>
      <c r="D106" s="23" t="s">
        <v>80</v>
      </c>
      <c r="E106" s="19" t="s">
        <v>22</v>
      </c>
      <c r="F106" s="29">
        <v>1</v>
      </c>
      <c r="G106" s="22">
        <v>662.53</v>
      </c>
      <c r="H106" s="22">
        <f t="shared" ref="H106:H113" si="19">G106*F106</f>
        <v>662.53</v>
      </c>
    </row>
    <row r="107" spans="1:9" ht="45" x14ac:dyDescent="0.25">
      <c r="A107" s="8"/>
      <c r="B107" s="19" t="s">
        <v>330</v>
      </c>
      <c r="C107" s="19" t="s">
        <v>271</v>
      </c>
      <c r="D107" s="23" t="s">
        <v>272</v>
      </c>
      <c r="E107" s="19" t="s">
        <v>22</v>
      </c>
      <c r="F107" s="29">
        <v>1</v>
      </c>
      <c r="G107" s="22">
        <v>764.82</v>
      </c>
      <c r="H107" s="22">
        <f t="shared" ref="H107" si="20">G107*F107</f>
        <v>764.82</v>
      </c>
    </row>
    <row r="108" spans="1:9" ht="30" x14ac:dyDescent="0.25">
      <c r="A108" s="8"/>
      <c r="B108" s="19" t="s">
        <v>331</v>
      </c>
      <c r="C108" s="19" t="s">
        <v>82</v>
      </c>
      <c r="D108" s="23" t="s">
        <v>81</v>
      </c>
      <c r="E108" s="19" t="s">
        <v>22</v>
      </c>
      <c r="F108" s="29">
        <v>7</v>
      </c>
      <c r="G108" s="22">
        <v>42.6</v>
      </c>
      <c r="H108" s="22">
        <f t="shared" si="19"/>
        <v>298.2</v>
      </c>
    </row>
    <row r="109" spans="1:9" ht="30" x14ac:dyDescent="0.25">
      <c r="A109" s="8"/>
      <c r="B109" s="19" t="s">
        <v>332</v>
      </c>
      <c r="C109" s="19" t="s">
        <v>165</v>
      </c>
      <c r="D109" s="23" t="s">
        <v>164</v>
      </c>
      <c r="E109" s="19" t="s">
        <v>166</v>
      </c>
      <c r="F109" s="29">
        <v>3</v>
      </c>
      <c r="G109" s="22">
        <v>133.86000000000001</v>
      </c>
      <c r="H109" s="22">
        <f>G109*F109</f>
        <v>401.58000000000004</v>
      </c>
    </row>
    <row r="110" spans="1:9" ht="30" x14ac:dyDescent="0.25">
      <c r="A110" s="8"/>
      <c r="B110" s="19" t="s">
        <v>333</v>
      </c>
      <c r="C110" s="19" t="s">
        <v>83</v>
      </c>
      <c r="D110" s="30" t="s">
        <v>84</v>
      </c>
      <c r="E110" s="19" t="s">
        <v>19</v>
      </c>
      <c r="F110" s="29">
        <f>SUM(F111:F113)/2</f>
        <v>275</v>
      </c>
      <c r="G110" s="22">
        <v>17.36</v>
      </c>
      <c r="H110" s="22">
        <f t="shared" si="19"/>
        <v>4774</v>
      </c>
    </row>
    <row r="111" spans="1:9" ht="30" x14ac:dyDescent="0.25">
      <c r="A111" s="8"/>
      <c r="B111" s="19" t="s">
        <v>334</v>
      </c>
      <c r="C111" s="19" t="s">
        <v>85</v>
      </c>
      <c r="D111" s="30" t="s">
        <v>86</v>
      </c>
      <c r="E111" s="19" t="s">
        <v>19</v>
      </c>
      <c r="F111" s="29">
        <v>50</v>
      </c>
      <c r="G111" s="22">
        <v>6.67</v>
      </c>
      <c r="H111" s="22">
        <f t="shared" si="19"/>
        <v>333.5</v>
      </c>
    </row>
    <row r="112" spans="1:9" ht="30" x14ac:dyDescent="0.25">
      <c r="A112" s="8"/>
      <c r="B112" s="19" t="s">
        <v>335</v>
      </c>
      <c r="C112" s="19" t="s">
        <v>87</v>
      </c>
      <c r="D112" s="30" t="s">
        <v>88</v>
      </c>
      <c r="E112" s="19" t="s">
        <v>19</v>
      </c>
      <c r="F112" s="29">
        <v>200</v>
      </c>
      <c r="G112" s="22">
        <v>4.4000000000000004</v>
      </c>
      <c r="H112" s="22">
        <f t="shared" si="19"/>
        <v>880.00000000000011</v>
      </c>
    </row>
    <row r="113" spans="1:10" ht="30" x14ac:dyDescent="0.25">
      <c r="A113" s="8"/>
      <c r="B113" s="19" t="s">
        <v>336</v>
      </c>
      <c r="C113" s="19" t="s">
        <v>89</v>
      </c>
      <c r="D113" s="30" t="s">
        <v>90</v>
      </c>
      <c r="E113" s="19" t="s">
        <v>19</v>
      </c>
      <c r="F113" s="29">
        <v>300</v>
      </c>
      <c r="G113" s="22">
        <v>3.49</v>
      </c>
      <c r="H113" s="22">
        <f t="shared" si="19"/>
        <v>1047</v>
      </c>
    </row>
    <row r="114" spans="1:10" ht="30" x14ac:dyDescent="0.25">
      <c r="A114" s="8"/>
      <c r="B114" s="19" t="s">
        <v>337</v>
      </c>
      <c r="C114" s="19" t="s">
        <v>77</v>
      </c>
      <c r="D114" s="30" t="s">
        <v>270</v>
      </c>
      <c r="E114" s="19" t="s">
        <v>19</v>
      </c>
      <c r="F114" s="29">
        <v>200</v>
      </c>
      <c r="G114" s="22">
        <v>4.75</v>
      </c>
      <c r="H114" s="22">
        <f t="shared" ref="H114" si="21">G114*F114</f>
        <v>950</v>
      </c>
    </row>
    <row r="115" spans="1:10" x14ac:dyDescent="0.25">
      <c r="A115" s="8"/>
      <c r="B115" s="18" t="s">
        <v>338</v>
      </c>
      <c r="C115" s="69" t="s">
        <v>93</v>
      </c>
      <c r="D115" s="70"/>
      <c r="E115" s="70"/>
      <c r="F115" s="70"/>
      <c r="G115" s="70"/>
      <c r="H115" s="71"/>
      <c r="J115" s="6"/>
    </row>
    <row r="116" spans="1:10" x14ac:dyDescent="0.25">
      <c r="A116" s="8"/>
      <c r="B116" s="19" t="s">
        <v>339</v>
      </c>
      <c r="C116" s="19" t="s">
        <v>94</v>
      </c>
      <c r="D116" s="23" t="s">
        <v>95</v>
      </c>
      <c r="E116" s="19" t="s">
        <v>22</v>
      </c>
      <c r="F116" s="29">
        <f>SUM(F117:F119)</f>
        <v>25</v>
      </c>
      <c r="G116" s="22">
        <v>15.26</v>
      </c>
      <c r="H116" s="22">
        <f t="shared" ref="H116:H119" si="22">G116*F116</f>
        <v>381.5</v>
      </c>
    </row>
    <row r="117" spans="1:10" x14ac:dyDescent="0.25">
      <c r="A117" s="8"/>
      <c r="B117" s="19" t="s">
        <v>340</v>
      </c>
      <c r="C117" s="19" t="s">
        <v>96</v>
      </c>
      <c r="D117" s="23" t="s">
        <v>97</v>
      </c>
      <c r="E117" s="19" t="s">
        <v>42</v>
      </c>
      <c r="F117" s="29">
        <v>2</v>
      </c>
      <c r="G117" s="22">
        <v>24.96</v>
      </c>
      <c r="H117" s="22">
        <f t="shared" si="22"/>
        <v>49.92</v>
      </c>
    </row>
    <row r="118" spans="1:10" x14ac:dyDescent="0.25">
      <c r="A118" s="8"/>
      <c r="B118" s="19" t="s">
        <v>341</v>
      </c>
      <c r="C118" s="19" t="s">
        <v>163</v>
      </c>
      <c r="D118" s="46" t="s">
        <v>161</v>
      </c>
      <c r="E118" s="19" t="s">
        <v>42</v>
      </c>
      <c r="F118" s="29">
        <v>3</v>
      </c>
      <c r="G118" s="22">
        <v>34.479999999999997</v>
      </c>
      <c r="H118" s="22">
        <f>G118*F118</f>
        <v>103.44</v>
      </c>
    </row>
    <row r="119" spans="1:10" x14ac:dyDescent="0.25">
      <c r="A119" s="8"/>
      <c r="B119" s="19" t="s">
        <v>342</v>
      </c>
      <c r="C119" s="19" t="s">
        <v>98</v>
      </c>
      <c r="D119" s="23" t="s">
        <v>99</v>
      </c>
      <c r="E119" s="19" t="s">
        <v>42</v>
      </c>
      <c r="F119" s="29">
        <v>20</v>
      </c>
      <c r="G119" s="22">
        <v>31.09</v>
      </c>
      <c r="H119" s="22">
        <f t="shared" si="22"/>
        <v>621.79999999999995</v>
      </c>
    </row>
    <row r="120" spans="1:10" ht="45" x14ac:dyDescent="0.25">
      <c r="A120" s="8"/>
      <c r="B120" s="19" t="s">
        <v>343</v>
      </c>
      <c r="C120" s="19" t="s">
        <v>158</v>
      </c>
      <c r="D120" s="23" t="s">
        <v>168</v>
      </c>
      <c r="E120" s="19" t="s">
        <v>22</v>
      </c>
      <c r="F120" s="29">
        <f>6+6+6+2+2</f>
        <v>22</v>
      </c>
      <c r="G120" s="22">
        <v>356.81</v>
      </c>
      <c r="H120" s="22">
        <f>G120*F120</f>
        <v>7849.82</v>
      </c>
    </row>
    <row r="121" spans="1:10" ht="30" x14ac:dyDescent="0.25">
      <c r="A121" s="8"/>
      <c r="B121" s="19" t="s">
        <v>344</v>
      </c>
      <c r="C121" s="19" t="s">
        <v>273</v>
      </c>
      <c r="D121" s="23" t="s">
        <v>388</v>
      </c>
      <c r="E121" s="19" t="s">
        <v>22</v>
      </c>
      <c r="F121" s="29">
        <v>12</v>
      </c>
      <c r="G121" s="22">
        <v>1404.3</v>
      </c>
      <c r="H121" s="22">
        <f>G121*F121</f>
        <v>16851.599999999999</v>
      </c>
    </row>
    <row r="122" spans="1:10" x14ac:dyDescent="0.25">
      <c r="A122" s="8"/>
      <c r="B122" s="19" t="s">
        <v>345</v>
      </c>
      <c r="C122" s="67" t="s">
        <v>114</v>
      </c>
      <c r="D122" s="67"/>
      <c r="E122" s="67"/>
      <c r="F122" s="67"/>
      <c r="G122" s="67"/>
      <c r="H122" s="28">
        <f>SUM(H104:H121)</f>
        <v>36351.31</v>
      </c>
      <c r="I122" s="6">
        <f>(H122*$F$161)+H122</f>
        <v>44348.5982</v>
      </c>
    </row>
    <row r="123" spans="1:10" x14ac:dyDescent="0.25">
      <c r="A123" s="8"/>
      <c r="B123" s="18">
        <v>10</v>
      </c>
      <c r="C123" s="69" t="s">
        <v>133</v>
      </c>
      <c r="D123" s="70"/>
      <c r="E123" s="70"/>
      <c r="F123" s="70"/>
      <c r="G123" s="70"/>
      <c r="H123" s="71"/>
    </row>
    <row r="124" spans="1:10" ht="30" x14ac:dyDescent="0.25">
      <c r="A124" s="8"/>
      <c r="B124" s="19" t="s">
        <v>45</v>
      </c>
      <c r="C124" s="31" t="s">
        <v>117</v>
      </c>
      <c r="D124" s="23" t="s">
        <v>118</v>
      </c>
      <c r="E124" s="19" t="s">
        <v>12</v>
      </c>
      <c r="F124" s="29">
        <f>5.7*0.6</f>
        <v>3.42</v>
      </c>
      <c r="G124" s="22">
        <v>804.48</v>
      </c>
      <c r="H124" s="22">
        <f>G124*F124</f>
        <v>2751.3216000000002</v>
      </c>
    </row>
    <row r="125" spans="1:10" ht="30" x14ac:dyDescent="0.25">
      <c r="A125" s="8"/>
      <c r="B125" s="19" t="s">
        <v>46</v>
      </c>
      <c r="C125" s="31" t="s">
        <v>127</v>
      </c>
      <c r="D125" s="23" t="s">
        <v>389</v>
      </c>
      <c r="E125" s="19" t="s">
        <v>22</v>
      </c>
      <c r="F125" s="29">
        <v>3</v>
      </c>
      <c r="G125" s="22">
        <v>147.01</v>
      </c>
      <c r="H125" s="22">
        <f>G125*F125</f>
        <v>441.03</v>
      </c>
    </row>
    <row r="126" spans="1:10" s="39" customFormat="1" ht="30" x14ac:dyDescent="0.25">
      <c r="A126" s="14"/>
      <c r="B126" s="19" t="s">
        <v>116</v>
      </c>
      <c r="C126" s="37" t="s">
        <v>283</v>
      </c>
      <c r="D126" s="23" t="s">
        <v>390</v>
      </c>
      <c r="E126" s="20" t="s">
        <v>22</v>
      </c>
      <c r="F126" s="38">
        <v>2</v>
      </c>
      <c r="G126" s="26">
        <v>47.12</v>
      </c>
      <c r="H126" s="26">
        <f t="shared" ref="H126:H132" si="23">G126*F126</f>
        <v>94.24</v>
      </c>
    </row>
    <row r="127" spans="1:10" ht="30" x14ac:dyDescent="0.25">
      <c r="A127" s="8"/>
      <c r="B127" s="19" t="s">
        <v>346</v>
      </c>
      <c r="C127" s="31" t="s">
        <v>18</v>
      </c>
      <c r="D127" s="23" t="s">
        <v>17</v>
      </c>
      <c r="E127" s="19" t="s">
        <v>22</v>
      </c>
      <c r="F127" s="29">
        <v>2</v>
      </c>
      <c r="G127" s="22">
        <v>90.11</v>
      </c>
      <c r="H127" s="22">
        <f t="shared" si="23"/>
        <v>180.22</v>
      </c>
    </row>
    <row r="128" spans="1:10" ht="30" x14ac:dyDescent="0.25">
      <c r="A128" s="8"/>
      <c r="B128" s="19" t="s">
        <v>347</v>
      </c>
      <c r="C128" s="31" t="s">
        <v>288</v>
      </c>
      <c r="D128" s="23" t="s">
        <v>58</v>
      </c>
      <c r="E128" s="19" t="s">
        <v>22</v>
      </c>
      <c r="F128" s="29">
        <v>3</v>
      </c>
      <c r="G128" s="22">
        <v>110.31</v>
      </c>
      <c r="H128" s="22">
        <f t="shared" si="23"/>
        <v>330.93</v>
      </c>
    </row>
    <row r="129" spans="1:10" ht="30" x14ac:dyDescent="0.25">
      <c r="A129" s="8"/>
      <c r="B129" s="19" t="s">
        <v>348</v>
      </c>
      <c r="C129" s="31" t="s">
        <v>289</v>
      </c>
      <c r="D129" s="23" t="s">
        <v>391</v>
      </c>
      <c r="E129" s="19" t="s">
        <v>22</v>
      </c>
      <c r="F129" s="29">
        <v>1</v>
      </c>
      <c r="G129" s="22">
        <v>178.88</v>
      </c>
      <c r="H129" s="22">
        <f t="shared" ref="H129" si="24">G129*F129</f>
        <v>178.88</v>
      </c>
    </row>
    <row r="130" spans="1:10" x14ac:dyDescent="0.25">
      <c r="A130" s="8"/>
      <c r="B130" s="19" t="s">
        <v>349</v>
      </c>
      <c r="C130" s="31" t="s">
        <v>16</v>
      </c>
      <c r="D130" s="23" t="s">
        <v>15</v>
      </c>
      <c r="E130" s="19" t="s">
        <v>22</v>
      </c>
      <c r="F130" s="29">
        <v>1</v>
      </c>
      <c r="G130" s="22">
        <v>82.53</v>
      </c>
      <c r="H130" s="22">
        <f t="shared" si="23"/>
        <v>82.53</v>
      </c>
    </row>
    <row r="131" spans="1:10" x14ac:dyDescent="0.25">
      <c r="A131" s="8"/>
      <c r="B131" s="19" t="s">
        <v>350</v>
      </c>
      <c r="C131" s="31" t="s">
        <v>14</v>
      </c>
      <c r="D131" s="23" t="s">
        <v>13</v>
      </c>
      <c r="E131" s="19" t="s">
        <v>22</v>
      </c>
      <c r="F131" s="32">
        <v>1</v>
      </c>
      <c r="G131" s="22">
        <v>62.67</v>
      </c>
      <c r="H131" s="22">
        <f t="shared" si="23"/>
        <v>62.67</v>
      </c>
    </row>
    <row r="132" spans="1:10" x14ac:dyDescent="0.25">
      <c r="A132" s="8"/>
      <c r="B132" s="19" t="s">
        <v>351</v>
      </c>
      <c r="C132" s="19" t="s">
        <v>69</v>
      </c>
      <c r="D132" s="23" t="s">
        <v>70</v>
      </c>
      <c r="E132" s="19" t="s">
        <v>22</v>
      </c>
      <c r="F132" s="21">
        <v>3</v>
      </c>
      <c r="G132" s="22">
        <v>133.54</v>
      </c>
      <c r="H132" s="22">
        <f t="shared" si="23"/>
        <v>400.62</v>
      </c>
    </row>
    <row r="133" spans="1:10" x14ac:dyDescent="0.25">
      <c r="A133" s="8"/>
      <c r="B133" s="19" t="s">
        <v>352</v>
      </c>
      <c r="C133" s="19" t="s">
        <v>284</v>
      </c>
      <c r="D133" s="23" t="s">
        <v>285</v>
      </c>
      <c r="E133" s="19" t="s">
        <v>22</v>
      </c>
      <c r="F133" s="21">
        <v>2</v>
      </c>
      <c r="G133" s="22">
        <v>325.95</v>
      </c>
      <c r="H133" s="22">
        <f>G133*F133</f>
        <v>651.9</v>
      </c>
    </row>
    <row r="134" spans="1:10" x14ac:dyDescent="0.25">
      <c r="A134" s="8"/>
      <c r="B134" s="19" t="s">
        <v>353</v>
      </c>
      <c r="C134" s="19" t="s">
        <v>10</v>
      </c>
      <c r="D134" s="23" t="s">
        <v>11</v>
      </c>
      <c r="E134" s="19" t="s">
        <v>22</v>
      </c>
      <c r="F134" s="21">
        <v>2</v>
      </c>
      <c r="G134" s="22">
        <v>302.74</v>
      </c>
      <c r="H134" s="22">
        <f t="shared" ref="H134:H141" si="25">G134*F134</f>
        <v>605.48</v>
      </c>
    </row>
    <row r="135" spans="1:10" x14ac:dyDescent="0.25">
      <c r="A135" s="8"/>
      <c r="B135" s="19" t="s">
        <v>354</v>
      </c>
      <c r="C135" s="19" t="s">
        <v>63</v>
      </c>
      <c r="D135" s="23" t="s">
        <v>64</v>
      </c>
      <c r="E135" s="19" t="s">
        <v>22</v>
      </c>
      <c r="F135" s="21">
        <v>2</v>
      </c>
      <c r="G135" s="22">
        <v>45.19</v>
      </c>
      <c r="H135" s="22">
        <f t="shared" si="25"/>
        <v>90.38</v>
      </c>
    </row>
    <row r="136" spans="1:10" x14ac:dyDescent="0.25">
      <c r="A136" s="8"/>
      <c r="B136" s="19" t="s">
        <v>355</v>
      </c>
      <c r="C136" s="19" t="s">
        <v>65</v>
      </c>
      <c r="D136" s="23" t="s">
        <v>66</v>
      </c>
      <c r="E136" s="19" t="s">
        <v>22</v>
      </c>
      <c r="F136" s="21">
        <v>2</v>
      </c>
      <c r="G136" s="22">
        <v>16.79</v>
      </c>
      <c r="H136" s="22">
        <f t="shared" si="25"/>
        <v>33.58</v>
      </c>
    </row>
    <row r="137" spans="1:10" x14ac:dyDescent="0.25">
      <c r="A137" s="8"/>
      <c r="B137" s="19" t="s">
        <v>356</v>
      </c>
      <c r="C137" s="19" t="s">
        <v>67</v>
      </c>
      <c r="D137" s="23" t="s">
        <v>68</v>
      </c>
      <c r="E137" s="19" t="s">
        <v>22</v>
      </c>
      <c r="F137" s="21">
        <v>2</v>
      </c>
      <c r="G137" s="22">
        <v>44.06</v>
      </c>
      <c r="H137" s="22">
        <f t="shared" si="25"/>
        <v>88.12</v>
      </c>
    </row>
    <row r="138" spans="1:10" x14ac:dyDescent="0.25">
      <c r="A138" s="8"/>
      <c r="B138" s="19" t="s">
        <v>357</v>
      </c>
      <c r="C138" s="19" t="s">
        <v>71</v>
      </c>
      <c r="D138" s="23" t="s">
        <v>72</v>
      </c>
      <c r="E138" s="19" t="s">
        <v>22</v>
      </c>
      <c r="F138" s="21">
        <v>3</v>
      </c>
      <c r="G138" s="22">
        <v>49.65</v>
      </c>
      <c r="H138" s="22">
        <f t="shared" si="25"/>
        <v>148.94999999999999</v>
      </c>
    </row>
    <row r="139" spans="1:10" x14ac:dyDescent="0.25">
      <c r="A139" s="8"/>
      <c r="B139" s="19" t="s">
        <v>358</v>
      </c>
      <c r="C139" s="19" t="s">
        <v>73</v>
      </c>
      <c r="D139" s="23" t="s">
        <v>74</v>
      </c>
      <c r="E139" s="19" t="s">
        <v>22</v>
      </c>
      <c r="F139" s="21">
        <v>3</v>
      </c>
      <c r="G139" s="22">
        <v>32.200000000000003</v>
      </c>
      <c r="H139" s="22">
        <f t="shared" si="25"/>
        <v>96.600000000000009</v>
      </c>
    </row>
    <row r="140" spans="1:10" x14ac:dyDescent="0.25">
      <c r="A140" s="8"/>
      <c r="B140" s="19" t="s">
        <v>359</v>
      </c>
      <c r="C140" s="19" t="s">
        <v>287</v>
      </c>
      <c r="D140" s="23" t="s">
        <v>286</v>
      </c>
      <c r="E140" s="19" t="s">
        <v>22</v>
      </c>
      <c r="F140" s="21">
        <v>3</v>
      </c>
      <c r="G140" s="22">
        <v>41.04</v>
      </c>
      <c r="H140" s="22">
        <f t="shared" si="25"/>
        <v>123.12</v>
      </c>
    </row>
    <row r="141" spans="1:10" x14ac:dyDescent="0.25">
      <c r="A141" s="8"/>
      <c r="B141" s="19" t="s">
        <v>360</v>
      </c>
      <c r="C141" s="19" t="s">
        <v>160</v>
      </c>
      <c r="D141" s="23" t="s">
        <v>159</v>
      </c>
      <c r="E141" s="19" t="s">
        <v>12</v>
      </c>
      <c r="F141" s="21">
        <f>(1.25*2*4)+(4.2*2)-(0.7*1.8*4)</f>
        <v>13.36</v>
      </c>
      <c r="G141" s="22">
        <v>1002.81</v>
      </c>
      <c r="H141" s="22">
        <f t="shared" si="25"/>
        <v>13397.541599999999</v>
      </c>
    </row>
    <row r="142" spans="1:10" x14ac:dyDescent="0.25">
      <c r="A142" s="8"/>
      <c r="B142" s="19" t="s">
        <v>361</v>
      </c>
      <c r="C142" s="67" t="s">
        <v>114</v>
      </c>
      <c r="D142" s="67"/>
      <c r="E142" s="67"/>
      <c r="F142" s="67"/>
      <c r="G142" s="67"/>
      <c r="H142" s="28">
        <f>SUM(H124:H141)</f>
        <v>19758.1132</v>
      </c>
      <c r="I142" s="6">
        <f>(H142*$F$161)+H142</f>
        <v>24104.898104</v>
      </c>
    </row>
    <row r="143" spans="1:10" x14ac:dyDescent="0.25">
      <c r="A143" s="8"/>
      <c r="B143" s="18">
        <v>11</v>
      </c>
      <c r="C143" s="69" t="s">
        <v>100</v>
      </c>
      <c r="D143" s="70"/>
      <c r="E143" s="70"/>
      <c r="F143" s="70"/>
      <c r="G143" s="70"/>
      <c r="H143" s="71"/>
    </row>
    <row r="144" spans="1:10" x14ac:dyDescent="0.25">
      <c r="A144" s="8"/>
      <c r="B144" s="19" t="s">
        <v>60</v>
      </c>
      <c r="C144" s="19" t="s">
        <v>101</v>
      </c>
      <c r="D144" s="23" t="s">
        <v>102</v>
      </c>
      <c r="E144" s="19" t="s">
        <v>12</v>
      </c>
      <c r="F144" s="29">
        <f>F54</f>
        <v>592.5</v>
      </c>
      <c r="G144" s="22">
        <v>31.03</v>
      </c>
      <c r="H144" s="22">
        <f t="shared" ref="H144" si="26">G144*F144</f>
        <v>18385.275000000001</v>
      </c>
      <c r="J144" s="6"/>
    </row>
    <row r="145" spans="1:10" x14ac:dyDescent="0.25">
      <c r="A145" s="8"/>
      <c r="B145" s="19" t="s">
        <v>61</v>
      </c>
      <c r="C145" s="19" t="s">
        <v>377</v>
      </c>
      <c r="D145" s="23" t="s">
        <v>378</v>
      </c>
      <c r="E145" s="19" t="s">
        <v>12</v>
      </c>
      <c r="F145" s="29">
        <f>13*20</f>
        <v>260</v>
      </c>
      <c r="G145" s="22">
        <v>114.13</v>
      </c>
      <c r="H145" s="22">
        <f t="shared" ref="H145" si="27">G145*F145</f>
        <v>29673.8</v>
      </c>
      <c r="J145" s="6"/>
    </row>
    <row r="146" spans="1:10" x14ac:dyDescent="0.25">
      <c r="A146" s="8"/>
      <c r="B146" s="19" t="s">
        <v>62</v>
      </c>
      <c r="C146" s="67" t="s">
        <v>114</v>
      </c>
      <c r="D146" s="67"/>
      <c r="E146" s="67"/>
      <c r="F146" s="67"/>
      <c r="G146" s="67"/>
      <c r="H146" s="28">
        <f>SUM(H144:H145)</f>
        <v>48059.074999999997</v>
      </c>
      <c r="I146" s="6">
        <f>(H146*$F$161)+H146</f>
        <v>58632.071499999998</v>
      </c>
      <c r="J146" s="6"/>
    </row>
    <row r="147" spans="1:10" x14ac:dyDescent="0.25">
      <c r="A147" s="8"/>
      <c r="B147" s="18">
        <v>12</v>
      </c>
      <c r="C147" s="69" t="s">
        <v>136</v>
      </c>
      <c r="D147" s="70"/>
      <c r="E147" s="70"/>
      <c r="F147" s="70"/>
      <c r="G147" s="70"/>
      <c r="H147" s="71"/>
    </row>
    <row r="148" spans="1:10" x14ac:dyDescent="0.25">
      <c r="A148" s="8"/>
      <c r="B148" s="19" t="s">
        <v>91</v>
      </c>
      <c r="C148" s="19" t="s">
        <v>292</v>
      </c>
      <c r="D148" s="23" t="s">
        <v>293</v>
      </c>
      <c r="E148" s="19" t="s">
        <v>42</v>
      </c>
      <c r="F148" s="29">
        <v>2</v>
      </c>
      <c r="G148" s="22">
        <v>2018.96</v>
      </c>
      <c r="H148" s="22">
        <f t="shared" ref="H148:H155" si="28">G148*F148</f>
        <v>4037.92</v>
      </c>
      <c r="J148" s="6"/>
    </row>
    <row r="149" spans="1:10" x14ac:dyDescent="0.25">
      <c r="A149" s="8"/>
      <c r="B149" s="19" t="s">
        <v>92</v>
      </c>
      <c r="C149" s="19" t="s">
        <v>374</v>
      </c>
      <c r="D149" s="23" t="s">
        <v>294</v>
      </c>
      <c r="E149" s="19" t="s">
        <v>22</v>
      </c>
      <c r="F149" s="29">
        <v>2</v>
      </c>
      <c r="G149" s="22">
        <v>4209.17</v>
      </c>
      <c r="H149" s="22">
        <f t="shared" si="28"/>
        <v>8418.34</v>
      </c>
    </row>
    <row r="150" spans="1:10" x14ac:dyDescent="0.25">
      <c r="A150" s="8"/>
      <c r="B150" s="19" t="s">
        <v>362</v>
      </c>
      <c r="C150" s="19" t="s">
        <v>295</v>
      </c>
      <c r="D150" s="23" t="s">
        <v>296</v>
      </c>
      <c r="E150" s="19" t="s">
        <v>42</v>
      </c>
      <c r="F150" s="29">
        <v>1</v>
      </c>
      <c r="G150" s="22">
        <v>1730.89</v>
      </c>
      <c r="H150" s="22">
        <f t="shared" si="28"/>
        <v>1730.89</v>
      </c>
    </row>
    <row r="151" spans="1:10" ht="30" x14ac:dyDescent="0.25">
      <c r="A151" s="8"/>
      <c r="B151" s="19" t="s">
        <v>363</v>
      </c>
      <c r="C151" s="19" t="s">
        <v>297</v>
      </c>
      <c r="D151" s="23" t="s">
        <v>298</v>
      </c>
      <c r="E151" s="19" t="s">
        <v>12</v>
      </c>
      <c r="F151" s="29">
        <f>19*3*2</f>
        <v>114</v>
      </c>
      <c r="G151" s="22">
        <v>280.61</v>
      </c>
      <c r="H151" s="22">
        <f t="shared" ref="H151" si="29">G151*F151</f>
        <v>31989.54</v>
      </c>
    </row>
    <row r="152" spans="1:10" x14ac:dyDescent="0.25">
      <c r="A152" s="8"/>
      <c r="B152" s="19" t="s">
        <v>364</v>
      </c>
      <c r="C152" s="19" t="s">
        <v>299</v>
      </c>
      <c r="D152" s="23" t="s">
        <v>300</v>
      </c>
      <c r="E152" s="19" t="s">
        <v>12</v>
      </c>
      <c r="F152" s="29">
        <f>2.2*1*2</f>
        <v>4.4000000000000004</v>
      </c>
      <c r="G152" s="22">
        <v>1062.95</v>
      </c>
      <c r="H152" s="22">
        <f t="shared" ref="H152" si="30">G152*F152</f>
        <v>4676.9800000000005</v>
      </c>
    </row>
    <row r="153" spans="1:10" ht="30" x14ac:dyDescent="0.25">
      <c r="A153" s="8"/>
      <c r="B153" s="19" t="s">
        <v>365</v>
      </c>
      <c r="C153" s="19" t="s">
        <v>301</v>
      </c>
      <c r="D153" s="23" t="s">
        <v>413</v>
      </c>
      <c r="E153" s="19" t="s">
        <v>12</v>
      </c>
      <c r="F153" s="29">
        <f>19*20.3</f>
        <v>385.7</v>
      </c>
      <c r="G153" s="22">
        <v>24.46</v>
      </c>
      <c r="H153" s="22">
        <f t="shared" ref="H153" si="31">G153*F153</f>
        <v>9434.2219999999998</v>
      </c>
    </row>
    <row r="154" spans="1:10" x14ac:dyDescent="0.25">
      <c r="A154" s="8"/>
      <c r="B154" s="19" t="s">
        <v>366</v>
      </c>
      <c r="C154" s="19" t="s">
        <v>290</v>
      </c>
      <c r="D154" s="23" t="s">
        <v>291</v>
      </c>
      <c r="E154" s="19" t="s">
        <v>20</v>
      </c>
      <c r="F154" s="21">
        <f>(33*0.2*0.5)</f>
        <v>3.3000000000000003</v>
      </c>
      <c r="G154" s="22">
        <v>887.92</v>
      </c>
      <c r="H154" s="22">
        <f>G154*F154</f>
        <v>2930.136</v>
      </c>
    </row>
    <row r="155" spans="1:10" s="39" customFormat="1" ht="45" x14ac:dyDescent="0.25">
      <c r="A155" s="14"/>
      <c r="B155" s="19" t="s">
        <v>367</v>
      </c>
      <c r="C155" s="20" t="s">
        <v>279</v>
      </c>
      <c r="D155" s="23" t="s">
        <v>392</v>
      </c>
      <c r="E155" s="20" t="s">
        <v>12</v>
      </c>
      <c r="F155" s="24">
        <f>60+25</f>
        <v>85</v>
      </c>
      <c r="G155" s="26">
        <v>101.4</v>
      </c>
      <c r="H155" s="26">
        <f t="shared" si="28"/>
        <v>8619</v>
      </c>
    </row>
    <row r="156" spans="1:10" ht="15" customHeight="1" x14ac:dyDescent="0.25">
      <c r="A156" s="8"/>
      <c r="B156" s="19" t="s">
        <v>403</v>
      </c>
      <c r="C156" s="67" t="s">
        <v>114</v>
      </c>
      <c r="D156" s="67"/>
      <c r="E156" s="67"/>
      <c r="F156" s="67"/>
      <c r="G156" s="67"/>
      <c r="H156" s="28">
        <f>SUM(H148:H155)</f>
        <v>71837.028000000006</v>
      </c>
      <c r="I156" s="6">
        <f>(H156*$F$161)+H156</f>
        <v>87641.17416000001</v>
      </c>
    </row>
    <row r="157" spans="1:10" x14ac:dyDescent="0.25">
      <c r="A157" s="8"/>
      <c r="B157" s="18">
        <v>13</v>
      </c>
      <c r="C157" s="69" t="s">
        <v>135</v>
      </c>
      <c r="D157" s="70"/>
      <c r="E157" s="70"/>
      <c r="F157" s="70"/>
      <c r="G157" s="70"/>
      <c r="H157" s="71"/>
      <c r="J157" s="6" t="s">
        <v>108</v>
      </c>
    </row>
    <row r="158" spans="1:10" x14ac:dyDescent="0.25">
      <c r="A158" s="8"/>
      <c r="B158" s="19" t="s">
        <v>91</v>
      </c>
      <c r="C158" s="19" t="s">
        <v>103</v>
      </c>
      <c r="D158" s="23" t="s">
        <v>104</v>
      </c>
      <c r="E158" s="19" t="s">
        <v>12</v>
      </c>
      <c r="F158" s="21">
        <f>F23</f>
        <v>530.6</v>
      </c>
      <c r="G158" s="22">
        <v>13.63</v>
      </c>
      <c r="H158" s="22">
        <f>G158*F158</f>
        <v>7232.0780000000004</v>
      </c>
      <c r="J158" s="6"/>
    </row>
    <row r="159" spans="1:10" x14ac:dyDescent="0.25">
      <c r="A159" s="8"/>
      <c r="B159" s="19" t="s">
        <v>92</v>
      </c>
      <c r="C159" s="67" t="s">
        <v>114</v>
      </c>
      <c r="D159" s="67"/>
      <c r="E159" s="67"/>
      <c r="F159" s="67"/>
      <c r="G159" s="67"/>
      <c r="H159" s="28">
        <f>SUM(H158)</f>
        <v>7232.0780000000004</v>
      </c>
      <c r="I159" s="6">
        <f>(H159*$F$161)+H159</f>
        <v>8823.1351599999998</v>
      </c>
      <c r="J159" s="6"/>
    </row>
    <row r="160" spans="1:10" x14ac:dyDescent="0.25">
      <c r="A160" s="8"/>
      <c r="D160" s="43"/>
      <c r="E160" s="2"/>
      <c r="F160" s="2"/>
      <c r="G160" s="33" t="s">
        <v>8</v>
      </c>
      <c r="H160" s="34">
        <f>SUM(H24,H36,H46,H156,H146,H142,H122,H101,H82,H75,H64,H51,H159)</f>
        <v>848203.86557999998</v>
      </c>
      <c r="J160" s="6"/>
    </row>
    <row r="161" spans="1:9" x14ac:dyDescent="0.25">
      <c r="A161" s="8"/>
      <c r="D161" s="47"/>
      <c r="E161" s="35" t="s">
        <v>119</v>
      </c>
      <c r="F161" s="36">
        <v>0.22</v>
      </c>
      <c r="G161" s="18" t="s">
        <v>107</v>
      </c>
      <c r="H161" s="22">
        <f>H160*F161</f>
        <v>186604.8504276</v>
      </c>
    </row>
    <row r="162" spans="1:9" x14ac:dyDescent="0.25">
      <c r="A162" s="8"/>
      <c r="B162" s="72" t="s">
        <v>396</v>
      </c>
      <c r="C162" s="72"/>
      <c r="D162" s="72"/>
      <c r="E162" s="2"/>
      <c r="F162" s="8"/>
      <c r="G162" s="18" t="s">
        <v>106</v>
      </c>
      <c r="H162" s="28">
        <f>SUM(H160:H161)</f>
        <v>1034808.7160076</v>
      </c>
      <c r="I162" s="11">
        <f>SUM(I1:I161)</f>
        <v>1034808.7160076</v>
      </c>
    </row>
    <row r="163" spans="1:9" x14ac:dyDescent="0.25">
      <c r="A163" s="8"/>
      <c r="D163" s="43"/>
      <c r="E163" s="8"/>
      <c r="F163" s="8"/>
      <c r="G163" s="8"/>
      <c r="H163" s="8"/>
    </row>
    <row r="164" spans="1:9" ht="15.75" x14ac:dyDescent="0.25">
      <c r="A164" s="8"/>
      <c r="D164" s="68" t="s">
        <v>406</v>
      </c>
      <c r="E164" s="68"/>
      <c r="F164" s="68"/>
      <c r="G164" s="68"/>
      <c r="H164" s="68"/>
    </row>
    <row r="165" spans="1:9" x14ac:dyDescent="0.25">
      <c r="A165" s="8"/>
      <c r="D165" s="43"/>
      <c r="E165" s="8"/>
      <c r="F165" s="8"/>
      <c r="G165" s="8"/>
      <c r="H165" s="8"/>
    </row>
    <row r="166" spans="1:9" x14ac:dyDescent="0.25">
      <c r="A166" s="8"/>
      <c r="D166" s="43"/>
      <c r="E166" s="8"/>
      <c r="F166" s="8"/>
      <c r="G166" s="8"/>
      <c r="H166" s="8"/>
    </row>
    <row r="167" spans="1:9" x14ac:dyDescent="0.25">
      <c r="A167" s="8"/>
      <c r="D167" s="43"/>
      <c r="E167" s="8"/>
      <c r="F167" s="8"/>
      <c r="G167" s="8"/>
      <c r="H167" s="8"/>
    </row>
    <row r="168" spans="1:9" x14ac:dyDescent="0.25">
      <c r="A168" s="8"/>
      <c r="D168" s="43"/>
      <c r="E168" s="8"/>
      <c r="F168" s="8"/>
      <c r="G168" s="8"/>
      <c r="H168" s="8"/>
    </row>
    <row r="169" spans="1:9" ht="15.75" x14ac:dyDescent="0.25">
      <c r="A169" s="66" t="s">
        <v>120</v>
      </c>
      <c r="B169" s="66"/>
      <c r="C169" s="66"/>
      <c r="D169" s="66"/>
      <c r="E169" s="66"/>
      <c r="F169" s="66"/>
      <c r="G169" s="66"/>
      <c r="H169" s="66"/>
    </row>
    <row r="170" spans="1:9" ht="15.75" x14ac:dyDescent="0.25">
      <c r="A170" s="66" t="s">
        <v>121</v>
      </c>
      <c r="B170" s="66"/>
      <c r="C170" s="66"/>
      <c r="D170" s="66"/>
      <c r="E170" s="66"/>
      <c r="F170" s="66"/>
      <c r="G170" s="66"/>
      <c r="H170" s="66"/>
    </row>
    <row r="171" spans="1:9" ht="15.75" x14ac:dyDescent="0.25">
      <c r="A171" s="66" t="s">
        <v>375</v>
      </c>
      <c r="B171" s="66"/>
      <c r="C171" s="66"/>
      <c r="D171" s="66"/>
      <c r="E171" s="66"/>
      <c r="F171" s="66"/>
      <c r="G171" s="66"/>
      <c r="H171" s="66"/>
    </row>
    <row r="172" spans="1:9" ht="15.75" x14ac:dyDescent="0.25">
      <c r="A172" s="66" t="s">
        <v>198</v>
      </c>
      <c r="B172" s="66"/>
      <c r="C172" s="66"/>
      <c r="D172" s="66"/>
      <c r="E172" s="66"/>
      <c r="F172" s="66"/>
      <c r="G172" s="66"/>
      <c r="H172" s="66"/>
    </row>
    <row r="173" spans="1:9" x14ac:dyDescent="0.25">
      <c r="G173" s="1"/>
    </row>
  </sheetData>
  <autoFilter ref="B7:H162" xr:uid="{00000000-0009-0000-0000-000000000000}"/>
  <mergeCells count="44">
    <mergeCell ref="C115:H115"/>
    <mergeCell ref="C143:H143"/>
    <mergeCell ref="C123:H123"/>
    <mergeCell ref="C9:H9"/>
    <mergeCell ref="C12:H12"/>
    <mergeCell ref="C20:H20"/>
    <mergeCell ref="C24:G24"/>
    <mergeCell ref="C122:G122"/>
    <mergeCell ref="C83:H83"/>
    <mergeCell ref="C84:H84"/>
    <mergeCell ref="C91:H91"/>
    <mergeCell ref="C76:H76"/>
    <mergeCell ref="C96:H96"/>
    <mergeCell ref="C82:G82"/>
    <mergeCell ref="C101:G101"/>
    <mergeCell ref="C103:H103"/>
    <mergeCell ref="C102:H102"/>
    <mergeCell ref="C105:H105"/>
    <mergeCell ref="D2:H2"/>
    <mergeCell ref="D4:H4"/>
    <mergeCell ref="D5:H5"/>
    <mergeCell ref="C64:G64"/>
    <mergeCell ref="C75:G75"/>
    <mergeCell ref="C51:G51"/>
    <mergeCell ref="C25:H25"/>
    <mergeCell ref="C37:H37"/>
    <mergeCell ref="C36:G36"/>
    <mergeCell ref="C46:G46"/>
    <mergeCell ref="C8:H8"/>
    <mergeCell ref="C47:H47"/>
    <mergeCell ref="C65:H65"/>
    <mergeCell ref="C52:H52"/>
    <mergeCell ref="A172:H172"/>
    <mergeCell ref="C159:G159"/>
    <mergeCell ref="C142:G142"/>
    <mergeCell ref="D164:H164"/>
    <mergeCell ref="C156:G156"/>
    <mergeCell ref="C157:H157"/>
    <mergeCell ref="A169:H169"/>
    <mergeCell ref="B162:D162"/>
    <mergeCell ref="A170:H170"/>
    <mergeCell ref="A171:H171"/>
    <mergeCell ref="C146:G146"/>
    <mergeCell ref="C147:H14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workbookViewId="0">
      <selection activeCell="R24" sqref="R24"/>
    </sheetView>
  </sheetViews>
  <sheetFormatPr defaultRowHeight="15" x14ac:dyDescent="0.25"/>
  <cols>
    <col min="1" max="1" width="0.7109375" customWidth="1"/>
    <col min="2" max="2" width="3.85546875" customWidth="1"/>
    <col min="3" max="3" width="12.7109375" style="48" customWidth="1"/>
    <col min="4" max="4" width="12.7109375" customWidth="1"/>
    <col min="5" max="5" width="6.42578125" customWidth="1"/>
    <col min="6" max="6" width="5.5703125" customWidth="1"/>
    <col min="7" max="7" width="9.5703125" customWidth="1"/>
    <col min="8" max="10" width="10.42578125" customWidth="1"/>
    <col min="11" max="11" width="10.5703125" customWidth="1"/>
    <col min="12" max="12" width="10.7109375" bestFit="1" customWidth="1"/>
    <col min="13" max="13" width="10.42578125" customWidth="1"/>
    <col min="14" max="14" width="9.5703125" customWidth="1"/>
    <col min="15" max="15" width="11.7109375" customWidth="1"/>
  </cols>
  <sheetData>
    <row r="1" spans="2:15" ht="17.25" x14ac:dyDescent="0.25">
      <c r="C1" s="104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2:15" x14ac:dyDescent="0.25">
      <c r="C2" s="105" t="s">
        <v>123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x14ac:dyDescent="0.25">
      <c r="C3" s="105" t="s">
        <v>376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x14ac:dyDescent="0.25">
      <c r="C4" s="6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x14ac:dyDescent="0.25">
      <c r="B5" s="9"/>
      <c r="C5" s="62"/>
      <c r="D5" s="9"/>
      <c r="E5" s="9"/>
      <c r="F5" s="9"/>
      <c r="G5" s="102" t="s">
        <v>124</v>
      </c>
      <c r="H5" s="102"/>
      <c r="I5" s="103" t="s">
        <v>197</v>
      </c>
      <c r="J5" s="103"/>
      <c r="K5" s="103"/>
      <c r="L5" s="103"/>
      <c r="M5" s="103"/>
      <c r="N5" s="103"/>
      <c r="O5" s="103"/>
    </row>
    <row r="6" spans="2:15" x14ac:dyDescent="0.25">
      <c r="B6" s="91" t="s">
        <v>2</v>
      </c>
      <c r="C6" s="94" t="s">
        <v>125</v>
      </c>
      <c r="D6" s="97" t="s">
        <v>131</v>
      </c>
      <c r="E6" s="97"/>
      <c r="F6" s="49" t="s">
        <v>137</v>
      </c>
      <c r="G6" s="49" t="s">
        <v>130</v>
      </c>
      <c r="H6" s="49" t="s">
        <v>130</v>
      </c>
      <c r="I6" s="49" t="s">
        <v>130</v>
      </c>
      <c r="J6" s="49" t="s">
        <v>130</v>
      </c>
      <c r="K6" s="49" t="s">
        <v>130</v>
      </c>
      <c r="L6" s="49" t="s">
        <v>130</v>
      </c>
      <c r="M6" s="49" t="s">
        <v>130</v>
      </c>
      <c r="N6" s="49" t="s">
        <v>130</v>
      </c>
      <c r="O6" s="49" t="s">
        <v>138</v>
      </c>
    </row>
    <row r="7" spans="2:15" x14ac:dyDescent="0.25">
      <c r="B7" s="92"/>
      <c r="C7" s="95"/>
      <c r="D7" s="97"/>
      <c r="E7" s="97"/>
      <c r="F7" s="49" t="s">
        <v>129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 t="s">
        <v>139</v>
      </c>
    </row>
    <row r="8" spans="2:15" x14ac:dyDescent="0.25">
      <c r="B8" s="93"/>
      <c r="C8" s="96"/>
      <c r="D8" s="50" t="s">
        <v>132</v>
      </c>
      <c r="E8" s="49" t="s">
        <v>128</v>
      </c>
      <c r="F8" s="49" t="s">
        <v>128</v>
      </c>
      <c r="G8" s="49" t="s">
        <v>128</v>
      </c>
      <c r="H8" s="49" t="s">
        <v>128</v>
      </c>
      <c r="I8" s="49" t="s">
        <v>128</v>
      </c>
      <c r="J8" s="49" t="s">
        <v>128</v>
      </c>
      <c r="K8" s="49" t="s">
        <v>128</v>
      </c>
      <c r="L8" s="49" t="s">
        <v>128</v>
      </c>
      <c r="M8" s="49" t="s">
        <v>128</v>
      </c>
      <c r="N8" s="49" t="s">
        <v>128</v>
      </c>
      <c r="O8" s="49" t="s">
        <v>128</v>
      </c>
    </row>
    <row r="9" spans="2:15" ht="33.75" x14ac:dyDescent="0.25">
      <c r="B9" s="51">
        <v>1</v>
      </c>
      <c r="C9" s="52" t="str">
        <f>Orçamento!C8</f>
        <v>Serviços Preliminares e Gerais</v>
      </c>
      <c r="D9" s="53">
        <f>Orçamento!I24</f>
        <v>37433.210614400006</v>
      </c>
      <c r="E9" s="54">
        <f>(D9/$D$22)*100</f>
        <v>3.6174038771939649</v>
      </c>
      <c r="F9" s="55"/>
      <c r="G9" s="56">
        <v>100</v>
      </c>
      <c r="H9" s="56"/>
      <c r="I9" s="56"/>
      <c r="J9" s="56"/>
      <c r="K9" s="56"/>
      <c r="L9" s="56"/>
      <c r="M9" s="56"/>
      <c r="N9" s="56"/>
      <c r="O9" s="56">
        <f>SUM(F9:N9)</f>
        <v>100</v>
      </c>
    </row>
    <row r="10" spans="2:15" x14ac:dyDescent="0.25">
      <c r="B10" s="51">
        <v>2</v>
      </c>
      <c r="C10" s="52" t="str">
        <f>Orçamento!C25</f>
        <v>Infraestrutura</v>
      </c>
      <c r="D10" s="53">
        <f>Orçamento!I36</f>
        <v>65104.188287199991</v>
      </c>
      <c r="E10" s="54">
        <f t="shared" ref="E10:E21" si="0">(D10/$D$22)*100</f>
        <v>6.2914224899823745</v>
      </c>
      <c r="F10" s="55"/>
      <c r="G10" s="56">
        <v>25</v>
      </c>
      <c r="H10" s="56">
        <v>25</v>
      </c>
      <c r="I10" s="56">
        <v>25</v>
      </c>
      <c r="J10" s="56">
        <v>25</v>
      </c>
      <c r="K10" s="56"/>
      <c r="L10" s="56"/>
      <c r="M10" s="56"/>
      <c r="N10" s="56"/>
      <c r="O10" s="56">
        <f t="shared" ref="O10:O21" si="1">SUM(F10:N10)</f>
        <v>100</v>
      </c>
    </row>
    <row r="11" spans="2:15" x14ac:dyDescent="0.25">
      <c r="B11" s="51">
        <v>3</v>
      </c>
      <c r="C11" s="52" t="str">
        <f>Orçamento!C37</f>
        <v>Supraestrutura</v>
      </c>
      <c r="D11" s="53">
        <f>Orçamento!I46</f>
        <v>68043.792000000001</v>
      </c>
      <c r="E11" s="54">
        <f t="shared" si="0"/>
        <v>6.5754946733073583</v>
      </c>
      <c r="F11" s="57"/>
      <c r="G11" s="56">
        <v>25</v>
      </c>
      <c r="H11" s="56">
        <v>25</v>
      </c>
      <c r="I11" s="56">
        <v>25</v>
      </c>
      <c r="J11" s="56">
        <v>25</v>
      </c>
      <c r="K11" s="56"/>
      <c r="L11" s="56"/>
      <c r="M11" s="56"/>
      <c r="N11" s="56"/>
      <c r="O11" s="56">
        <f t="shared" si="1"/>
        <v>100</v>
      </c>
    </row>
    <row r="12" spans="2:15" ht="22.5" x14ac:dyDescent="0.25">
      <c r="B12" s="51">
        <v>4</v>
      </c>
      <c r="C12" s="52" t="str">
        <f>Orçamento!C47</f>
        <v>Vedação/Paredes</v>
      </c>
      <c r="D12" s="53">
        <f>Orçamento!I51</f>
        <v>44195.882016000003</v>
      </c>
      <c r="E12" s="54">
        <f t="shared" si="0"/>
        <v>4.2709228606531582</v>
      </c>
      <c r="F12" s="55"/>
      <c r="G12" s="56">
        <v>35</v>
      </c>
      <c r="H12" s="56">
        <v>25</v>
      </c>
      <c r="I12" s="56">
        <v>25</v>
      </c>
      <c r="J12" s="56">
        <v>15</v>
      </c>
      <c r="K12" s="56"/>
      <c r="L12" s="56"/>
      <c r="M12" s="56"/>
      <c r="N12" s="56"/>
      <c r="O12" s="56">
        <f t="shared" si="1"/>
        <v>100</v>
      </c>
    </row>
    <row r="13" spans="2:15" ht="22.5" x14ac:dyDescent="0.25">
      <c r="B13" s="51">
        <v>5</v>
      </c>
      <c r="C13" s="52" t="str">
        <f>Orçamento!C52</f>
        <v>Pisos e Revestimentos</v>
      </c>
      <c r="D13" s="58">
        <f>Orçamento!I64</f>
        <v>114636.02766200002</v>
      </c>
      <c r="E13" s="54">
        <f t="shared" si="0"/>
        <v>11.0779920857526</v>
      </c>
      <c r="F13" s="55"/>
      <c r="G13" s="56"/>
      <c r="H13" s="56">
        <v>25</v>
      </c>
      <c r="I13" s="56">
        <v>25</v>
      </c>
      <c r="J13" s="56">
        <v>25</v>
      </c>
      <c r="K13" s="56">
        <v>25</v>
      </c>
      <c r="L13" s="56"/>
      <c r="M13" s="56"/>
      <c r="N13" s="56"/>
      <c r="O13" s="56">
        <f t="shared" si="1"/>
        <v>100</v>
      </c>
    </row>
    <row r="14" spans="2:15" x14ac:dyDescent="0.25">
      <c r="B14" s="51">
        <v>6</v>
      </c>
      <c r="C14" s="52" t="str">
        <f>Orçamento!C65</f>
        <v>Cobertura</v>
      </c>
      <c r="D14" s="53">
        <f>Orçamento!I75</f>
        <v>395972.88923999999</v>
      </c>
      <c r="E14" s="54">
        <f t="shared" si="0"/>
        <v>38.265322190917054</v>
      </c>
      <c r="F14" s="55"/>
      <c r="G14" s="56"/>
      <c r="H14" s="56">
        <v>10</v>
      </c>
      <c r="I14" s="56">
        <v>20</v>
      </c>
      <c r="J14" s="56">
        <v>20</v>
      </c>
      <c r="K14" s="56">
        <v>25</v>
      </c>
      <c r="L14" s="56"/>
      <c r="M14" s="56">
        <v>20</v>
      </c>
      <c r="N14" s="56">
        <v>5</v>
      </c>
      <c r="O14" s="56">
        <f t="shared" si="1"/>
        <v>100</v>
      </c>
    </row>
    <row r="15" spans="2:15" x14ac:dyDescent="0.25">
      <c r="B15" s="51">
        <v>7</v>
      </c>
      <c r="C15" s="52" t="str">
        <f>Orçamento!C76</f>
        <v>Esquadrias</v>
      </c>
      <c r="D15" s="53">
        <f>Orçamento!I82</f>
        <v>24622.217143999998</v>
      </c>
      <c r="E15" s="54">
        <f t="shared" si="0"/>
        <v>2.3793979276667749</v>
      </c>
      <c r="F15" s="55"/>
      <c r="G15" s="56"/>
      <c r="H15" s="56"/>
      <c r="I15" s="56"/>
      <c r="J15" s="56">
        <v>25</v>
      </c>
      <c r="K15" s="56">
        <v>25</v>
      </c>
      <c r="L15" s="56">
        <v>50</v>
      </c>
      <c r="M15" s="56"/>
      <c r="N15" s="56"/>
      <c r="O15" s="56">
        <f t="shared" si="1"/>
        <v>100</v>
      </c>
    </row>
    <row r="16" spans="2:15" ht="22.5" x14ac:dyDescent="0.25">
      <c r="B16" s="51">
        <v>8</v>
      </c>
      <c r="C16" s="52" t="str">
        <f>Orçamento!C83</f>
        <v>Instalações Hidráulicas</v>
      </c>
      <c r="D16" s="53">
        <f>Orçamento!I101</f>
        <v>61250.63192</v>
      </c>
      <c r="E16" s="54">
        <f t="shared" si="0"/>
        <v>5.9190293792954636</v>
      </c>
      <c r="F16" s="55"/>
      <c r="G16" s="56"/>
      <c r="H16" s="56"/>
      <c r="I16" s="56">
        <v>20</v>
      </c>
      <c r="J16" s="56">
        <v>25</v>
      </c>
      <c r="K16" s="56">
        <v>25</v>
      </c>
      <c r="L16" s="56">
        <v>30</v>
      </c>
      <c r="M16" s="56"/>
      <c r="N16" s="56"/>
      <c r="O16" s="56">
        <f t="shared" si="1"/>
        <v>100</v>
      </c>
    </row>
    <row r="17" spans="1:15" ht="22.5" x14ac:dyDescent="0.25">
      <c r="B17" s="51">
        <v>9</v>
      </c>
      <c r="C17" s="52" t="str">
        <f>Orçamento!C102</f>
        <v>Instalações Elétricas</v>
      </c>
      <c r="D17" s="53">
        <f>Orçamento!I122</f>
        <v>44348.5982</v>
      </c>
      <c r="E17" s="54">
        <f t="shared" si="0"/>
        <v>4.2856807750036667</v>
      </c>
      <c r="F17" s="55"/>
      <c r="G17" s="56"/>
      <c r="H17" s="56"/>
      <c r="I17" s="56">
        <v>15</v>
      </c>
      <c r="J17" s="56">
        <v>10</v>
      </c>
      <c r="K17" s="56">
        <v>25</v>
      </c>
      <c r="L17" s="56">
        <v>25</v>
      </c>
      <c r="M17" s="56">
        <v>25</v>
      </c>
      <c r="N17" s="56"/>
      <c r="O17" s="56">
        <f t="shared" si="1"/>
        <v>100</v>
      </c>
    </row>
    <row r="18" spans="1:15" x14ac:dyDescent="0.25">
      <c r="B18" s="51">
        <v>10</v>
      </c>
      <c r="C18" s="52" t="str">
        <f>Orçamento!C123</f>
        <v>Louças e Metais</v>
      </c>
      <c r="D18" s="53">
        <f>Orçamento!I142</f>
        <v>24104.898104</v>
      </c>
      <c r="E18" s="54">
        <f t="shared" si="0"/>
        <v>2.329406172475935</v>
      </c>
      <c r="F18" s="55"/>
      <c r="G18" s="56"/>
      <c r="H18" s="56"/>
      <c r="I18" s="56"/>
      <c r="J18" s="56"/>
      <c r="K18" s="56"/>
      <c r="L18" s="56">
        <v>100</v>
      </c>
      <c r="M18" s="56"/>
      <c r="N18" s="56"/>
      <c r="O18" s="56">
        <f t="shared" si="1"/>
        <v>100</v>
      </c>
    </row>
    <row r="19" spans="1:15" x14ac:dyDescent="0.25">
      <c r="B19" s="51">
        <v>11</v>
      </c>
      <c r="C19" s="52" t="str">
        <f>Orçamento!C143</f>
        <v>Pintura</v>
      </c>
      <c r="D19" s="53">
        <f>Orçamento!I146</f>
        <v>58632.071499999998</v>
      </c>
      <c r="E19" s="54">
        <f t="shared" si="0"/>
        <v>5.6659816053935694</v>
      </c>
      <c r="F19" s="55"/>
      <c r="G19" s="56"/>
      <c r="H19" s="56"/>
      <c r="I19" s="56"/>
      <c r="J19" s="56"/>
      <c r="K19" s="56"/>
      <c r="L19" s="56">
        <v>25</v>
      </c>
      <c r="M19" s="56">
        <v>25</v>
      </c>
      <c r="N19" s="56">
        <v>50</v>
      </c>
      <c r="O19" s="56">
        <f t="shared" si="1"/>
        <v>100</v>
      </c>
    </row>
    <row r="20" spans="1:15" ht="22.5" x14ac:dyDescent="0.25">
      <c r="B20" s="51">
        <v>12</v>
      </c>
      <c r="C20" s="52" t="str">
        <f>Orçamento!C147</f>
        <v>Serviços Complementares</v>
      </c>
      <c r="D20" s="53">
        <f>Orçamento!I156</f>
        <v>87641.17416000001</v>
      </c>
      <c r="E20" s="54">
        <f t="shared" si="0"/>
        <v>8.4693115552919593</v>
      </c>
      <c r="F20" s="55"/>
      <c r="G20" s="56"/>
      <c r="H20" s="56"/>
      <c r="I20" s="56"/>
      <c r="J20" s="56"/>
      <c r="K20" s="56"/>
      <c r="L20" s="56">
        <v>25</v>
      </c>
      <c r="M20" s="56">
        <v>25</v>
      </c>
      <c r="N20" s="56">
        <v>50</v>
      </c>
      <c r="O20" s="56">
        <f t="shared" si="1"/>
        <v>100</v>
      </c>
    </row>
    <row r="21" spans="1:15" x14ac:dyDescent="0.25">
      <c r="B21" s="51">
        <v>13</v>
      </c>
      <c r="C21" s="52" t="str">
        <f>Orçamento!C157</f>
        <v>Limpeza Final</v>
      </c>
      <c r="D21" s="53">
        <f>Orçamento!I159</f>
        <v>8823.1351599999998</v>
      </c>
      <c r="E21" s="54">
        <f t="shared" si="0"/>
        <v>0.85263440706612681</v>
      </c>
      <c r="F21" s="55"/>
      <c r="G21" s="56"/>
      <c r="H21" s="56"/>
      <c r="I21" s="56"/>
      <c r="J21" s="56"/>
      <c r="K21" s="56"/>
      <c r="L21" s="56"/>
      <c r="M21" s="56">
        <v>20</v>
      </c>
      <c r="N21" s="56">
        <v>80</v>
      </c>
      <c r="O21" s="56">
        <f t="shared" si="1"/>
        <v>100</v>
      </c>
    </row>
    <row r="22" spans="1:15" x14ac:dyDescent="0.25">
      <c r="B22" s="98" t="s">
        <v>126</v>
      </c>
      <c r="C22" s="98"/>
      <c r="D22" s="99">
        <f>SUM(D9:D21)</f>
        <v>1034808.7160076</v>
      </c>
      <c r="E22" s="100">
        <f>SUM(E9:E21)</f>
        <v>100.00000000000001</v>
      </c>
      <c r="F22" s="100"/>
      <c r="G22" s="59">
        <f t="shared" ref="G22:M22" si="2">(G9/100*$D$9)+(G10/100*$D$10)+(G11/100*$D$11)+(G12/100*$D$12)+(G13/100*$D$13)+(G14/100*$D$14)+(G15/100*$D$15)+(G16/100*$D$16)+(G17/100*$D$17)+(G18/100*$D$18)+(G19/100*$D$19)+(G20/100*$D$20)+(G21/100*$D$21)</f>
        <v>86188.76439180001</v>
      </c>
      <c r="H22" s="59">
        <f t="shared" si="2"/>
        <v>112592.26141530002</v>
      </c>
      <c r="I22" s="59">
        <f t="shared" si="2"/>
        <v>171091.9664533</v>
      </c>
      <c r="J22" s="59">
        <f t="shared" si="2"/>
        <v>173673.0342237</v>
      </c>
      <c r="K22" s="59">
        <f t="shared" si="2"/>
        <v>160207.59104150001</v>
      </c>
      <c r="L22" s="59">
        <f t="shared" si="2"/>
        <v>102446.657217</v>
      </c>
      <c r="M22" s="59">
        <f t="shared" si="2"/>
        <v>128614.66584500001</v>
      </c>
      <c r="N22" s="59">
        <f t="shared" ref="N22" si="3">(N9/100*$D$9)+(N10/100*$D$10)+(N11/100*$D$11)+(N12/100*$D$12)+(N13/100*$D$13)+(N14/100*$D$14)+(N15/100*$D$15)+(N16/100*$D$16)+(N17/100*$D$17)+(N18/100*$D$18)+(N19/100*$D$19)+(N20/100*$D$20)+(N21/100*$D$21)</f>
        <v>99993.775420000005</v>
      </c>
      <c r="O22" s="53">
        <f>SUM(G22:N22)</f>
        <v>1034808.7160076</v>
      </c>
    </row>
    <row r="23" spans="1:15" x14ac:dyDescent="0.25">
      <c r="B23" s="98"/>
      <c r="C23" s="98"/>
      <c r="D23" s="99"/>
      <c r="E23" s="100"/>
      <c r="F23" s="100"/>
      <c r="G23" s="60">
        <f>G22/$D$22</f>
        <v>8.328956169245004E-2</v>
      </c>
      <c r="H23" s="60">
        <f t="shared" ref="H23:O23" si="4">H22/$D$22</f>
        <v>0.1088049024651558</v>
      </c>
      <c r="I23" s="60">
        <f t="shared" si="4"/>
        <v>0.16533680457716926</v>
      </c>
      <c r="J23" s="60">
        <f t="shared" si="4"/>
        <v>0.16783105083782895</v>
      </c>
      <c r="K23" s="60">
        <f t="shared" si="4"/>
        <v>0.15481855589658891</v>
      </c>
      <c r="L23" s="60">
        <f t="shared" si="4"/>
        <v>9.9000574340202596E-2</v>
      </c>
      <c r="M23" s="60">
        <f t="shared" si="4"/>
        <v>0.12428834803518936</v>
      </c>
      <c r="N23" s="60">
        <f t="shared" ref="N23" si="5">N22/$D$22</f>
        <v>9.6630202155415179E-2</v>
      </c>
      <c r="O23" s="60">
        <f t="shared" si="4"/>
        <v>1</v>
      </c>
    </row>
    <row r="24" spans="1:15" x14ac:dyDescent="0.25">
      <c r="B24" s="12"/>
      <c r="C24" s="63"/>
      <c r="D24" s="10" t="s">
        <v>119</v>
      </c>
      <c r="E24" s="13">
        <v>0.22</v>
      </c>
      <c r="F24" s="65" t="s">
        <v>396</v>
      </c>
      <c r="G24" s="65"/>
      <c r="H24" s="65"/>
      <c r="I24" s="65"/>
      <c r="J24" s="65"/>
      <c r="K24" s="101" t="s">
        <v>406</v>
      </c>
      <c r="L24" s="101"/>
      <c r="M24" s="101"/>
      <c r="N24" s="101"/>
      <c r="O24" s="101"/>
    </row>
    <row r="25" spans="1:15" x14ac:dyDescent="0.25">
      <c r="B25" s="9"/>
      <c r="C25" s="62"/>
      <c r="D25" s="9"/>
      <c r="E25" s="13"/>
      <c r="F25" s="9"/>
      <c r="G25" s="9"/>
      <c r="H25" s="9"/>
      <c r="I25" s="9"/>
      <c r="K25" s="9"/>
      <c r="L25" s="9"/>
      <c r="M25" s="9"/>
      <c r="N25" s="9"/>
      <c r="O25" s="9"/>
    </row>
    <row r="26" spans="1:15" x14ac:dyDescent="0.25">
      <c r="B26" s="7"/>
      <c r="C26" s="64"/>
      <c r="D26" s="7"/>
      <c r="E26" s="2"/>
    </row>
    <row r="27" spans="1:15" ht="15.75" x14ac:dyDescent="0.25">
      <c r="A27" s="90" t="s">
        <v>120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5.75" x14ac:dyDescent="0.25">
      <c r="A28" s="90" t="s">
        <v>121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5.75" x14ac:dyDescent="0.25">
      <c r="A29" s="90" t="s">
        <v>393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15.75" x14ac:dyDescent="0.25">
      <c r="A30" s="90" t="s">
        <v>122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3" spans="2:5" x14ac:dyDescent="0.25">
      <c r="C33" s="43"/>
      <c r="D33" s="8"/>
      <c r="E33" s="8"/>
    </row>
    <row r="34" spans="2:5" x14ac:dyDescent="0.25">
      <c r="B34" s="4"/>
      <c r="C34" s="43"/>
      <c r="D34" s="8"/>
      <c r="E34" s="8"/>
    </row>
    <row r="35" spans="2:5" x14ac:dyDescent="0.25">
      <c r="B35" s="7"/>
      <c r="C35" s="64"/>
      <c r="D35" s="7"/>
    </row>
  </sheetData>
  <mergeCells count="17">
    <mergeCell ref="G5:H5"/>
    <mergeCell ref="I5:O5"/>
    <mergeCell ref="C1:O1"/>
    <mergeCell ref="C2:O2"/>
    <mergeCell ref="C3:O3"/>
    <mergeCell ref="A30:O30"/>
    <mergeCell ref="A27:O27"/>
    <mergeCell ref="A28:O28"/>
    <mergeCell ref="A29:O29"/>
    <mergeCell ref="B6:B8"/>
    <mergeCell ref="C6:C8"/>
    <mergeCell ref="D6:E7"/>
    <mergeCell ref="B22:C23"/>
    <mergeCell ref="D22:D23"/>
    <mergeCell ref="E22:E23"/>
    <mergeCell ref="F22:F23"/>
    <mergeCell ref="K24:O2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Prefeitura Municipal de Santo Antonio do Jardim</cp:lastModifiedBy>
  <cp:lastPrinted>2023-03-01T19:54:11Z</cp:lastPrinted>
  <dcterms:created xsi:type="dcterms:W3CDTF">2017-08-10T14:07:28Z</dcterms:created>
  <dcterms:modified xsi:type="dcterms:W3CDTF">2023-03-22T16:38:55Z</dcterms:modified>
</cp:coreProperties>
</file>